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5266" windowWidth="15480" windowHeight="11640" tabRatio="703" activeTab="0"/>
  </bookViews>
  <sheets>
    <sheet name="kvota ZADOLŽITEV " sheetId="1" r:id="rId1"/>
    <sheet name="ZBIR OBVEZNOSTI" sheetId="2" r:id="rId2"/>
    <sheet name="JAVNI SKLAD-BANKA KOPER" sheetId="3" r:id="rId3"/>
    <sheet name="BANKA KOPER -JSR-69,5" sheetId="4" r:id="rId4"/>
    <sheet name="DEŽELNA BANKA d.d." sheetId="5" r:id="rId5"/>
    <sheet name="RAP Raiffeisen Leasing " sheetId="6" r:id="rId6"/>
    <sheet name="DEŽELNA BANKA 2009" sheetId="7" r:id="rId7"/>
    <sheet name="Banka Koper 2010" sheetId="8" r:id="rId8"/>
    <sheet name="DK 2011" sheetId="9" r:id="rId9"/>
    <sheet name="2011" sheetId="10" r:id="rId10"/>
    <sheet name="Sheet6" sheetId="11" r:id="rId11"/>
    <sheet name="Sheet7" sheetId="12" r:id="rId12"/>
    <sheet name="Sheet8" sheetId="13" r:id="rId13"/>
    <sheet name="Sheet9" sheetId="14" r:id="rId14"/>
    <sheet name="Sheet10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>
    <definedName name="NOV">#REF!</definedName>
    <definedName name="_xlnm.Print_Area" localSheetId="3">'BANKA KOPER -JSR-69,5'!$A$1:$G$101</definedName>
    <definedName name="_xlnm.Print_Area" localSheetId="6">'DEŽELNA BANKA 2009'!$A$1:$I$76</definedName>
    <definedName name="_xlnm.Print_Area" localSheetId="4">'DEŽELNA BANKA d.d.'!$A$1:$I$76</definedName>
    <definedName name="_xlnm.Print_Area" localSheetId="2">'JAVNI SKLAD-BANKA KOPER'!$A$1:$J$153</definedName>
    <definedName name="_xlnm.Print_Area" localSheetId="0">'kvota ZADOLŽITEV '!$A$1:$G$54</definedName>
    <definedName name="_xlnm.Print_Area" localSheetId="5">'RAP Raiffeisen Leasing '!$A$58:$H$189</definedName>
    <definedName name="Print_Area_MI" localSheetId="7">#REF!</definedName>
    <definedName name="Print_Area_MI" localSheetId="8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<sst xmlns="http://schemas.openxmlformats.org/spreadsheetml/2006/main" count="800" uniqueCount="415">
  <si>
    <t>OBRESTI</t>
  </si>
  <si>
    <t>OBROK</t>
  </si>
  <si>
    <t>GLAVNICA</t>
  </si>
  <si>
    <t>REALNE OBRESTI</t>
  </si>
  <si>
    <t>KOEF. ZA REALNE</t>
  </si>
  <si>
    <t>OBVEZNOST</t>
  </si>
  <si>
    <t xml:space="preserve">LETNA </t>
  </si>
  <si>
    <t>OBROK +</t>
  </si>
  <si>
    <t xml:space="preserve">ŠT. DNI </t>
  </si>
  <si>
    <t>MESEC</t>
  </si>
  <si>
    <t>STROŠKI ODOBRITVE:</t>
  </si>
  <si>
    <t>OBRESTI:</t>
  </si>
  <si>
    <t>SKUPAJ :</t>
  </si>
  <si>
    <t xml:space="preserve">                                                                                                                        </t>
  </si>
  <si>
    <t>DATE            1 WEEK  2 WEEK  3 WEEK  1 MONTH 2 MONTH 3 MONTH 4 MONTH 5 MONTH 6 MONTH 7 MONTH 8 MONTH 9 MONTH 10 MONTH11 MONTH12 MONTH</t>
  </si>
  <si>
    <t>08/23/06        3,082   3,086   3,093   3,106   3,16    3,253   3,31    3,381   3,434   3,466   3,505   3,534   3,559   3,586   3,608</t>
  </si>
  <si>
    <t>08/22/06        3,086   3,092   3,094   3,106   3,161   3,249   3,307   3,377   3,436   3,484   3,524   3,567   3,601   3,631   3,657</t>
  </si>
  <si>
    <t>08/21/06        3,089   3,094   3,094   3,106   3,156   3,244   3,304   3,375   3,435   3,479   3,523   3,565   3,601   3,631   3,657</t>
  </si>
  <si>
    <t>08/18/06        3,091   3,093   3,094   3,105   3,155   3,236   3,293   3,374   3,435   3,484   3,533   3,574   3,609   3,645   3,675</t>
  </si>
  <si>
    <t>08/17/06        3,091   3,094   3,095   3,106   3,154   3,234   3,289   3,373   3,427   3,471   3,522   3,561   3,598   3,632   3,659</t>
  </si>
  <si>
    <t>08/16/06        3,092   3,094   3,094   3,105   3,147   3,227   3,285   3,363   3,424   3,466   3,515   3,557   3,591   3,626   3,657</t>
  </si>
  <si>
    <t>08/15/06        3,091   3,093   3,094   3,105   3,145   3,22    3,284   3,363   3,423   3,463   3,511   3,551   3,588   3,625   3,657</t>
  </si>
  <si>
    <t>08/14/06        3,091   3,093   3,095   3,107   3,145   3,219   3,284   3,361   3,418   3,456   3,505   3,546   3,584   3,62    3,651</t>
  </si>
  <si>
    <t>08/11/06        3,091   3,093   3,094   3,105   3,143   3,217   3,275   3,352   3,405   3,442   3,486   3,524   3,554   3,591   3,619</t>
  </si>
  <si>
    <t>08/10/06        3,092   3,093   3,094   3,104   3,141   3,215   3,273   3,343   3,394   3,427   3,471   3,502   3,531   3,564   3,588</t>
  </si>
  <si>
    <t>08/09/06        3,092   3,094   3,095   3,105   3,133   3,21    3,266   3,335   3,393   3,428   3,468   3,506   3,535   3,568   3,599</t>
  </si>
  <si>
    <t>08/08/06        3,092   3,093   3,094   3,104   3,131   3,207   3,265   3,334   3,388   3,424   3,464   3,497   3,528   3,562   3,589</t>
  </si>
  <si>
    <t>08/07/06        3,088   3,09    3,094   3,103   3,126   3,204   3,263   3,326   3,379   3,416   3,459   3,495   3,525   3,558   3,589</t>
  </si>
  <si>
    <t>08/04/06        3,038   3,066   3,077   3,09    3,123   3,201   3,262   3,328   3,381   3,423   3,466   3,504   3,535   3,573   3,603</t>
  </si>
  <si>
    <t>08/03/06        2,997   3,043   3,054   3,064   3,11    3,185   3,228   3,297   3,347   3,38    3,422   3,453   3,484   3,516   3,546</t>
  </si>
  <si>
    <t>08/02/06        2,854   2,966   3,009   3,042   3,103   3,178   3,222   3,283   3,335   3,371   3,41    3,444   3,475   3,504   3,534</t>
  </si>
  <si>
    <t>08/01/06        2,835   2,951   2,997   3,033   3,096   3,17    3,22    3,283   3,335   3,372   3,41    3,445   3,477   3,51    3,542</t>
  </si>
  <si>
    <t>07/31/06        2,811   2,931   2,993   3,03    3,094   3,161   3,217   3,279   3,333   3,369   3,409   3,446   3,483   3,513   3,546</t>
  </si>
  <si>
    <t>07/28/06        2,818   2,908   2,982   3,02    3,091   3,149   3,208   3,274   3,33    3,364   3,409   3,446   3,483   3,516   3,551</t>
  </si>
  <si>
    <t>07/27/06        2,837   2,898   2,972   3,011   3,083   3,146   3,204   3,256   3,32    3,357   3,398   3,436   3,471   3,505   3,535</t>
  </si>
  <si>
    <t>07/26/06        2,845   2,867   2,94    2,992   3,066   3,141   3,199   3,253   3,322   3,361   3,402   3,443   3,474   3,506   3,544</t>
  </si>
  <si>
    <t>07/25/06        2,849   2,86    2,931   2,985   3,066   3,134   3,196   3,246   3,314   3,353   3,393   3,433   3,465   3,495   3,525</t>
  </si>
  <si>
    <t>07/24/06        2,852   2,853   2,925   2,978   3,062   3,126   3,194   3,245   3,31    3,355   3,395   3,437   3,476   3,505   3,537</t>
  </si>
  <si>
    <t>07/21/06        2,854   2,856   2,914   2,963   3,054   3,124   3,187   3,238   3,303   3,347   3,388   3,432   3,465   3,499   3,531</t>
  </si>
  <si>
    <t>07/20/06        2,851   2,86    2,896   2,955   3,054   3,117   3,183   3,236   3,304   3,353   3,397   3,442   3,481   3,516   3,551</t>
  </si>
  <si>
    <t>07/19/06        2,852   2,861   2,876   2,942   3,045   3,114   3,173   3,225   3,297   3,345   3,389   3,437   3,476   3,515   3,555</t>
  </si>
  <si>
    <t>07/18/06        2,852   2,861   2,872   2,934   3,041   3,104   3,166   3,216   3,285   3,33    3,374   3,416   3,455   3,492   3,526</t>
  </si>
  <si>
    <t>07/17/06        2,852   2,861   2,867   2,93    3,037   3,1     3,158   3,205   3,28    3,32    3,362   3,402   3,443   3,477   3,511</t>
  </si>
  <si>
    <t>07/14/06        2,852   2,864   2,872   2,922   3,028   3,092   3,162   3,209   3,279   3,331   3,37    3,411   3,451   3,49    3,525</t>
  </si>
  <si>
    <t>07/13/06        2,852   2,859   2,869   2,916   3,023   3,09    3,158   3,209   3,282   3,34    3,385   3,429   3,476   3,516   3,551</t>
  </si>
  <si>
    <t>07/12/06        2,851   2,858   2,868   2,895   3,011   3,083   3,152   3,202   3,279   3,336   3,382   3,437   3,48    3,524   3,564</t>
  </si>
  <si>
    <t>07/11/06        2,849   2,858   2,869   2,895   3,004   3,079   3,15    3,199   3,274   3,331   3,378   3,426   3,473   3,515   3,552</t>
  </si>
  <si>
    <t>07/10/06        2,849   2,857   2,869   2,895   3,001   3,079   3,15    3,199   3,274   3,331   3,381   3,435   3,483   3,524   3,561</t>
  </si>
  <si>
    <t>07/07/06        2,842   2,857   2,869   2,884   2,996   3,075   3,151   3,199   3,274   3,333   3,383   3,434   3,481   3,524   3,559</t>
  </si>
  <si>
    <t>07/06/06        2,841   2,857   2,869   2,889   2,972   3,062   3,132   3,183   3,255   3,319   3,366   3,416   3,46    3,505   3,542</t>
  </si>
  <si>
    <t>07/05/06        2,823   2,841   2,866   2,889   2,968   3,06    3,13    3,179   3,246   3,304   3,351   3,408   3,449   3,491   3,532</t>
  </si>
  <si>
    <t>07/04/06        2,832   2,849   2,866   2,894   2,965   3,055   3,129   3,175   3,238   3,292   3,335   3,388   3,431   3,468   3,506</t>
  </si>
  <si>
    <t>07/03/06        2,84    2,851   2,868   2,898   2,966   3,055   3,128   3,175   3,239   3,294   3,337   3,386   3,433   3,47    3,507</t>
  </si>
  <si>
    <t>06/30/06        2,846   2,856   2,868   2,897   2,967   3,056   3,128   3,179   3,245   3,294   3,339   3,388   3,433   3,473   3,512</t>
  </si>
  <si>
    <t>06/29/06        2,855   2,868   2,878   2,901   2,973   3,063   3,132   3,19    3,253   3,311   3,353   3,396   3,442   3,482   3,518</t>
  </si>
  <si>
    <t>06/28/06        2,893   2,884   2,89    2,908   2,967   3,061   3,127   3,184   3,241   3,306   3,351   3,396   3,441   3,483   3,521</t>
  </si>
  <si>
    <t>06/27/06        2,891   2,88    2,883   2,901   2,952   3,041   3,12    3,177   3,24    3,3     3,35    3,397   3,443   3,48    3,52</t>
  </si>
  <si>
    <t>06/26/06        2,89    2,88    2,881   2,887   2,929   3,001   3,079   3,136   3,194   3,256   3,303   3,346   3,386   3,423   3,458</t>
  </si>
  <si>
    <t>06/23/06        2,889   2,881   2,881   2,886   2,927   2,997   3,065   3,123   3,182   3,24    3,284   3,325   3,366   3,405   3,437</t>
  </si>
  <si>
    <t>06/22/06        2,889   2,879   2,88    2,885   2,924   2,993   3,061   3,116   3,175   3,229   3,275   3,316   3,356   3,396   3,427</t>
  </si>
  <si>
    <t>06/21/06        2,863   2,882   2,879   2,884   2,919   2,985   3,049   3,106   3,168   3,216   3,267   3,306   3,344   3,383   3,416</t>
  </si>
  <si>
    <t>06/20/06        2,863   2,879   2,878   2,881   2,917   2,976   3,037   3,091   3,143   3,194   3,239   3,274   3,314   3,346   3,377</t>
  </si>
  <si>
    <t>06/19/06        2,861   2,876   2,874   2,876   2,916   2,973   3,035   3,086   3,136   3,19    3,234   3,269   3,305   3,336   3,37</t>
  </si>
  <si>
    <t>06/16/06        2,862   2,873   2,874   2,876   2,914   2,966   3,032   3,081   3,13    3,183   3,225   3,254   3,29    3,324   3,354</t>
  </si>
  <si>
    <t>06/15/06        2,857   2,871   2,873   2,876   2,914   2,963   3,026   3,078   3,125   3,174   3,217   3,25    3,281   3,316   3,349</t>
  </si>
  <si>
    <t>06/14/06        2,857   2,863   2,867   2,874   2,913   2,961   3,014   3,062   3,11    3,156   3,196   3,226   3,259   3,291   3,324</t>
  </si>
  <si>
    <t>06/13/06        2,859   2,864   2,87    2,874   2,909   2,959   3,006   3,05    3,096   3,143   3,18    3,208   3,236   3,265   3,294</t>
  </si>
  <si>
    <t>06/12/06        2,804   2,824   2,843   2,859   2,912   2,953   3,011   3,059   3,108   3,159   3,198   3,231   3,264   3,295   3,326</t>
  </si>
  <si>
    <t>06/09/06        2,754   2,812   2,834   2,845   2,909   2,953   3,009   3,06    3,112   3,162   3,2     3,234   3,273   3,305   3,336</t>
  </si>
  <si>
    <t>06/08/06        2,719   2,806   2,844   2,869   2,935   2,99    3,054   3,104   3,149   3,204   3,243   3,284   3,322   3,355   3,386</t>
  </si>
  <si>
    <t>06/07/06        2,566   2,728   2,786   2,836   2,921   2,974   3,045   3,104   3,148   3,199   3,246   3,286   3,326   3,361   3,397</t>
  </si>
  <si>
    <t>06/06/06        2,591   2,727   2,784   2,834   2,921   2,969   3,045   3,104   3,147   3,196   3,242   3,283   3,321   3,355   3,396</t>
  </si>
  <si>
    <t>06/05/06        2,596   2,706   2,776   2,827   2,913   2,957   3,024   3,08    3,123   3,169   3,216   3,254   3,293   3,324   3,357</t>
  </si>
  <si>
    <t>06/02/06        2,612   2,691   2,764   2,823   2,904   2,95    3,019   3,083   3,126   3,177   3,224   3,261   3,302   3,335   3,368</t>
  </si>
  <si>
    <t>06/01/06        2,621   2,666   2,751   2,821   2,901   2,944   3,022   3,084   3,126   3,176   3,222   3,259   3,302   3,336   3,369</t>
  </si>
  <si>
    <t>05/31/06        2,625   2,636   2,718   2,792   2,883   2,926   2,984   3,044   3,09    3,134   3,177   3,212   3,246   3,281   3,313</t>
  </si>
  <si>
    <t>05/30/06        2,629   2,633   2,703   2,779   2,874   2,922   2,977   3,03    3,074   3,115   3,158   3,192   3,228   3,259   3,291</t>
  </si>
  <si>
    <t>05/29/06        2,626   2,639   2,686   2,765   2,87    2,919   2,969   3,025   3,066   3,104   3,152   3,185   3,216   3,251   3,286</t>
  </si>
  <si>
    <t>05/26/06        2,625   2,638   2,676   2,757   2,865   2,913   2,966   3,022   3,063   3,101   3,145   3,183   3,214   3,246   3,278</t>
  </si>
  <si>
    <t>05/25/06        2,625   2,638   2,668   2,751   2,86    2,91    2,959   3,016   3,058   3,098   3,14    3,177   3,206   3,241   3,272</t>
  </si>
  <si>
    <t>05/24/06        2,626   2,637   2,651   2,731   2,851   2,905   2,963   3,015   3,066   3,106   3,146   3,189   3,219   3,253   3,288</t>
  </si>
  <si>
    <t>05/23/06        2,628   2,636   2,649   2,724   2,845   2,904   2,962   3,019   3,066   3,105   3,149   3,187   3,219   3,256   3,285</t>
  </si>
  <si>
    <t>05/22/06        2,623   2,634   2,645   2,715   2,845   2,901   2,959   3,017   3,066   3,105   3,148   3,187   3,218   3,252   3,284</t>
  </si>
  <si>
    <t>05/19/06        2,623   2,634   2,646   2,698   2,837   2,896   2,959   3,023   3,073   3,115   3,163   3,204   3,236   3,273   3,304</t>
  </si>
  <si>
    <t>05/18/06        2,623   2,635   2,646   2,694   2,834   2,893   2,951   3,019   3,068   3,107   3,156   3,199   3,23    3,268   3,3</t>
  </si>
  <si>
    <t>05/17/06        2,624   2,635   2,644   2,664   2,819   2,884   2,936   3,001   3,055   3,095   3,145   3,186   3,219   3,258   3,293</t>
  </si>
  <si>
    <t>05/16/06        2,625   2,636   2,644   2,664   2,816   2,883   2,939   3,005   3,063   3,099   3,151   3,199   3,23    3,268   3,301</t>
  </si>
  <si>
    <t>05/15/06        2,625   2,628   2,641   2,664   2,816   2,884   2,941   3,006   3,064   3,108   3,16    3,209   3,242   3,282   3,319</t>
  </si>
  <si>
    <t>05/12/06        2,623   2,626   2,638   2,653   2,814   2,885   2,944   3,016   3,079   3,134   3,192   3,243   3,28    3,324   3,364</t>
  </si>
  <si>
    <t>05/11/06        2,618   2,624   2,634   2,647   2,8     2,879   2,929   3,003   3,066   3,115   3,175   3,224   3,262   3,306   3,344</t>
  </si>
  <si>
    <t>05/10/06        2,614   2,622   2,632   2,644   2,786   2,877   2,928   2,997   3,064   3,115   3,173   3,223   3,265   3,309   3,352</t>
  </si>
  <si>
    <t>05/09/06        2,613   2,617   2,626   2,641   2,783   2,872   2,921   2,987   3,055   3,103   3,16    3,212   3,254   3,294   3,332</t>
  </si>
  <si>
    <t>05/08/06        2,614   2,617   2,626   2,64    2,776   2,866   2,91    2,97    3,031   3,087   3,14    3,195   3,236   3,274   3,313</t>
  </si>
  <si>
    <t>05/05/06        2,595   2,606   2,618   2,635   2,772   2,859   2,906   2,966   3,031   3,086   3,141   3,196   3,238   3,284   3,321</t>
  </si>
  <si>
    <t>05/04/06        2,59    2,607   2,624   2,645   2,773   2,855   2,894   2,958   3,021   3,072   3,128   3,18    3,218   3,267   3,301</t>
  </si>
  <si>
    <t>05/03/06        2,635   2,644   2,653   2,667   2,775   2,865   2,907   2,967   3,031   3,081   3,139   3,194   3,231   3,277   3,317</t>
  </si>
  <si>
    <t>05/02/06        2,636   2,643   2,653   2,667   2,771   2,86    2,907   2,963   3,03    3,081   3,134   3,193   3,232   3,272   3,314</t>
  </si>
  <si>
    <t>04/28/06        2,637   2,642   2,651   2,666   2,763   2,852   2,911   2,967   3,032   3,089   3,144   3,198   3,237   3,277   3,318</t>
  </si>
  <si>
    <t>04/27/06        2,643   2,646   2,652   2,666   2,753   2,832   2,895   2,952   3,016   3,073   3,126   3,184   3,22    3,264   3,306</t>
  </si>
  <si>
    <t>04/26/06        2,66    2,656   2,657   2,667   2,74    2,824   2,881   2,93    2,997   3,045   3,099   3,153   3,194   3,24    3,277</t>
  </si>
  <si>
    <t>04/25/06        2,651   2,649   2,65    2,655   2,711   2,79    2,846   2,889   2,949   2,995   3,048   3,103   3,143   3,178   3,221</t>
  </si>
  <si>
    <t>04/24/06        2,648   2,648   2,649   2,653   2,704   2,783   2,837   2,877   2,935   2,982   3,031   3,082   3,118   3,152   3,19</t>
  </si>
  <si>
    <t>04/21/06        2,643   2,643   2,645   2,651   2,702   2,779   2,835   2,877   2,932   2,981   3,031   3,081   3,124   3,158   3,198</t>
  </si>
  <si>
    <t>04/20/06        2,633   2,633   2,635   2,644   2,694   2,776   2,83    2,874   2,932   2,978   3,03    3,081   3,124   3,159   3,2</t>
  </si>
  <si>
    <t>04/19/06        2,624   2,628   2,632   2,643   2,681   2,77    2,821   2,86    2,922   2,964   3,016   3,067   3,108   3,144   3,185</t>
  </si>
  <si>
    <t>04/18/06        2,62    2,626   2,629   2,642   2,676   2,769   2,819   2,857   2,918   2,966   3,02    3,078   3,115   3,152   3,194</t>
  </si>
  <si>
    <t>04/13/06        2,621   2,628   2,629   2,64    2,674   2,765   2,815   2,852   2,916   2,966   3,015   3,069   3,106   3,142   3,185</t>
  </si>
  <si>
    <t>04/12/06        2,623   2,626   2,63    2,637   2,674   2,764   2,814   2,854   2,914   2,964   3,011   3,062   3,099   3,134   3,173</t>
  </si>
  <si>
    <t>04/11/06        2,628   2,629   2,633   2,637   2,677   2,762   2,814   2,854   2,912   2,961   3,009   3,061   3,097   3,13    3,171</t>
  </si>
  <si>
    <t>04/10/06        2,63    2,629   2,635   2,638   2,684   2,763   2,814   2,857   2,912   2,964   3,011   3,06    3,097   3,132   3,171</t>
  </si>
  <si>
    <t>04/07/06        2,643   2,638   2,638   2,641   2,686   2,764   2,812   2,858   2,915   2,963   3,006   3,052   3,093   3,122   3,159</t>
  </si>
  <si>
    <t>04/06/06        2,653   2,651   2,652   2,654   2,763   2,831   2,895   2,946   3,007   3,053   3,1     3,153   3,192   3,225   3,26</t>
  </si>
  <si>
    <t>04/05/06        2,635   2,635   2,637   2,651   2,753   2,824   2,893   2,946   3,006   3,053   3,099   3,152   3,189   3,221   3,26</t>
  </si>
  <si>
    <t>04/04/06        2,615   2,626   2,633   2,649   2,746   2,822   2,891   2,943   3,002   3,051   3,101   3,149   3,191   3,226   3,264</t>
  </si>
  <si>
    <t>04/03/06        2,614   2,626   2,634   2,647   2,742   2,818   2,882   2,933   2,992   3,046   3,089   3,135   3,176   3,215   3,254</t>
  </si>
  <si>
    <t>03/31/06        2,622   2,631   2,635   2,647   2,741   2,816   2,877   2,927   2,985   3,034   3,078   3,123   3,167   3,201   3,233</t>
  </si>
  <si>
    <t>03/30/06        2,624   2,63    2,636   2,649   2,738   2,814   2,874   2,924   2,977   3,029   3,073   3,119   3,162   3,193   3,229</t>
  </si>
  <si>
    <t>03/29/06        2,637   2,638   2,642   2,647   2,723   2,797   2,86    2,911   2,968   3,018   3,063   3,104   3,148   3,18    3,215</t>
  </si>
  <si>
    <t>03/28/06        2,631   2,632   2,633   2,64    2,7     2,772   2,832   2,882   2,937   2,984   3,028   3,067   3,105   3,138   3,171</t>
  </si>
  <si>
    <t>03/27/06        2,631   2,632   2,633   2,638   2,682   2,745   2,803   2,85    2,906   2,949   2,989   3,026   3,06    3,09    3,119</t>
  </si>
  <si>
    <t>03/24/06        2,63    2,631   2,633   2,638   2,679   2,741   2,799   2,85    2,904   2,954   2,994   3,033   3,075   3,106   3,135</t>
  </si>
  <si>
    <t>03/23/06        2,628   2,626   2,63    2,638   2,675   2,739   2,797   2,846   2,901   2,948   2,989   3,028   3,069   3,097   3,129</t>
  </si>
  <si>
    <t>03/22/06        2,611   2,624   2,628   2,637   2,674   2,737   2,794   2,844   2,895   2,94    2,985   3,025   3,065   3,105   3,137</t>
  </si>
  <si>
    <t>03/21/06        2,612   2,622   2,625   2,636   2,665   2,728   2,79    2,841   2,89    2,936   2,98    3,022   3,064   3,104   3,138</t>
  </si>
  <si>
    <t>03/20/06        2,611   2,623   2,625   2,636   2,66    2,723   2,783   2,835   2,884   2,933   2,978   3,017   3,056   3,099   3,134</t>
  </si>
  <si>
    <t>03/17/06        2,609   2,621   2,623   2,634   2,656   2,705   2,759   2,809   2,856   2,905   2,945   2,987   3,027   3,065   3,095</t>
  </si>
  <si>
    <t>03/16/06        2,605   2,617   2,622   2,633   2,656   2,704   2,755   2,806   2,851   2,898   2,942   2,983   3,027   3,062   3,093</t>
  </si>
  <si>
    <t>03/15/06        2,604   2,608   2,621   2,633   2,655   2,703   2,752   2,803   2,846   2,894   2,937   2,978   3,018   3,056   3,087</t>
  </si>
  <si>
    <t>03/14/06        2,604   2,608   2,621   2,634   2,656   2,704   2,756   2,805   2,85    2,898   2,94    2,984   3,023   3,062   3,092</t>
  </si>
  <si>
    <t>03/13/06        2,604   2,607   2,621   2,633   2,655   2,701   2,757   2,806   2,848   2,896   2,937   2,98    3,018   3,054   3,085</t>
  </si>
  <si>
    <t>03/10/06        2,604   2,608   2,621   2,632   2,657   2,698   2,745   2,794   2,835   2,886   2,926   2,966   3,003   3,036   3,07</t>
  </si>
  <si>
    <t>03/09/06        2,606   2,613   2,622   2,632   2,653   2,695   2,739   2,792   2,83    2,875   2,916   2,956   2,999   3,029   3,065</t>
  </si>
  <si>
    <t>03/08/06        2,609   2,612   2,619   2,631   2,653   2,694   2,736   2,789   2,831   2,872   2,912   2,949   2,986   3,024   3,056</t>
  </si>
  <si>
    <t>03/07/06        2,604   2,607   2,614   2,629   2,654   2,692   2,738   2,792   2,833   2,874   2,917   2,956   2,995   3,032   3,061</t>
  </si>
  <si>
    <t>03/06/06        2,602   2,605   2,614   2,628   2,649   2,688   2,737   2,787   2,824   2,865   2,905   2,947   2,984   3,019   3,048</t>
  </si>
  <si>
    <t>03/03/06        2,583   2,601   2,611   2,624   2,644   2,684   2,733   2,782   2,821   2,864   2,904   2,945   2,982   3,012   3,045</t>
  </si>
  <si>
    <t>03/02/06        2,543   2,58    2,598   2,615   2,637   2,674   2,719   2,764   2,795   2,834   2,872   2,909   2,941   2,966   2,995</t>
  </si>
  <si>
    <t>03/01/06        2,452   2,54    2,566   2,601   2,63    2,666   2,706   2,751   2,79    2,824   2,863   2,896   2,929   2,961   2,991</t>
  </si>
  <si>
    <t>02/28/06        2,414   2,508   2,539   2,589   2,623   2,664   2,702   2,744   2,783   2,817   2,855   2,894   2,924   2,952   2,981</t>
  </si>
  <si>
    <t>02/27/06        2,394   2,48    2,524   2,571   2,618   2,657   2,689   2,735   2,769   2,804   2,84    2,876   2,91    2,934   2,965</t>
  </si>
  <si>
    <t>02/24/06        2,392   2,469   2,512   2,551   2,599   2,644   2,685   2,731   2,766   2,799   2,836   2,872   2,899   2,926   2,956</t>
  </si>
  <si>
    <t>02/23/06        2,388   2,443   2,495   2,528   2,589   2,628   2,673   2,717   2,754   2,784   2,821   2,856   2,886   2,912   2,938</t>
  </si>
  <si>
    <t>02/22/06        2,374   2,394   2,464   2,504   2,581   2,616   2,66    2,702   2,734   2,766   2,798   2,833   2,862   2,886   2,912</t>
  </si>
  <si>
    <t>02/21/06        2,375   2,39    2,452   2,492   2,573   2,612   2,652   2,693   2,723   2,752   2,781   2,807   2,833   2,858   2,881</t>
  </si>
  <si>
    <t>02/20/06        2,372   2,383   2,439   2,483   2,569   2,609   2,653   2,691   2,72    2,747   2,778   2,808   2,829   2,858   2,88</t>
  </si>
  <si>
    <t>02/17/06        2,367   2,381   2,429   2,476   2,557   2,608   2,647   2,689   2,723   2,752   2,787   2,814   2,841   2,871   2,895</t>
  </si>
  <si>
    <t>02/16/06        2,369   2,381   2,415   2,468   2,555   2,604   2,64    2,685   2,722   2,752   2,786   2,818   2,846   2,877   2,905</t>
  </si>
  <si>
    <t>02/15/06        2,366   2,376   2,395   2,448   2,545   2,597   2,635   2,676   2,717   2,746   2,778   2,813   2,838   2,868   2,897</t>
  </si>
  <si>
    <t>02/14/06        2,365   2,376   2,391   2,443   2,542   2,596   2,631   2,674   2,718   2,746   2,782   2,816   2,842   2,871   2,899</t>
  </si>
  <si>
    <t>02/13/06        2,365   2,374   2,388   2,437   2,536   2,594   2,628   2,675   2,719   2,75    2,788   2,822   2,851   2,881   2,907</t>
  </si>
  <si>
    <t>02/10/06        2,365   2,372   2,385   2,426   2,533   2,592   2,623   2,668   2,714   2,747   2,783   2,817   2,845   2,875   2,901</t>
  </si>
  <si>
    <t>02/09/06        2,365   2,371   2,383   2,413   2,52    2,585   2,623   2,665   2,714   2,749   2,784   2,822   2,85    2,883   2,913</t>
  </si>
  <si>
    <t>02/08/06        2,364   2,371   2,38    2,397   2,508   2,575   2,616   2,657   2,705   2,741   2,775   2,816   2,846   2,876   2,906</t>
  </si>
  <si>
    <t>02/07/06        2,364   2,369   2,377   2,39    2,503   2,569   2,612   2,657   2,704   2,741   2,777   2,815   2,846   2,878   2,908</t>
  </si>
  <si>
    <t>02/06/06        2,365   2,368   2,376   2,389   2,502   2,57    2,612   2,656   2,701   2,739   2,777   2,816   2,847   2,879   2,909</t>
  </si>
  <si>
    <t>02/03/06        2,368   2,371   2,376   2,386   2,499   2,57    2,611   2,654   2,706   2,741   2,779   2,819   2,847   2,885   2,914</t>
  </si>
  <si>
    <t>02/02/06        2,363   2,369   2,377   2,392   2,5     2,563   2,614   2,656   2,706   2,742   2,778   2,819   2,85    2,885   2,916</t>
  </si>
  <si>
    <t>02/01/06        2,355   2,363   2,371   2,39    2,493   2,554   2,609   2,649   2,699   2,735   2,768   2,808   2,838   2,869   2,9</t>
  </si>
  <si>
    <t>01/31/06        2,354   2,361   2,37    2,387   2,483   2,547   2,603   2,648   2,698   2,734   2,769   2,809   2,841   2,873   2,903</t>
  </si>
  <si>
    <t>01/30/06        2,355   2,364   2,371   2,385   2,474   2,542   2,595   2,638   2,685   2,723   2,756   2,798   2,829   2,861   2,89</t>
  </si>
  <si>
    <t>01/27/06        2,355   2,363   2,371   2,384   2,466   2,536   2,589   2,63    2,678   2,711   2,745   2,785   2,814   2,841   2,874</t>
  </si>
  <si>
    <t>01/26/06        2,358   2,363   2,371   2,385   2,464   2,534   2,587   2,626   2,671   2,707   2,737   2,775   2,806   2,831   2,86</t>
  </si>
  <si>
    <t>01/25/06        2,36    2,361   2,371   2,386   2,462   2,533   2,586   2,622   2,671   2,706   2,739   2,776   2,807   2,835   2,864</t>
  </si>
  <si>
    <t>01/24/06        2,358   2,362   2,371   2,385   2,455   2,527   2,578   2,617   2,662   2,698   2,729   2,766   2,796   2,824   2,853</t>
  </si>
  <si>
    <t>01/23/06        2,357   2,362   2,37    2,385   2,453   2,524   2,571   2,61    2,653   2,689   2,717   2,755   2,785   2,812   2,838</t>
  </si>
  <si>
    <t>01/20/06        2,354   2,363   2,37    2,387   2,444   2,52    2,574   2,612   2,656   2,694   2,723   2,757   2,786   2,815   2,839</t>
  </si>
  <si>
    <t>01/19/06        2,354   2,363   2,369   2,386   2,44    2,516   2,577   2,609   2,654   2,688   2,718   2,753   2,782   2,806   2,83</t>
  </si>
  <si>
    <t>01/18/06        2,354   2,361   2,369   2,385   2,435   2,505   2,557   2,593   2,63    2,655   2,682   2,71    2,735   2,755   2,782</t>
  </si>
  <si>
    <t>01/17/06        2,354   2,361   2,369   2,386   2,435   2,508   2,56    2,601   2,638   2,67    2,697   2,727   2,755   2,776   2,805</t>
  </si>
  <si>
    <t>01/16/06        2,352   2,361   2,369   2,387   2,434   2,508   2,561   2,602   2,641   2,673   2,703   2,735   2,764   2,787   2,816</t>
  </si>
  <si>
    <t>01/13/06        2,342   2,354   2,366   2,389   2,434   2,507   2,564   2,601   2,644   2,674   2,706   2,735   2,766   2,792   2,818</t>
  </si>
  <si>
    <t>01/12/06        2,359   2,363   2,373   2,396   2,441   2,514   2,567   2,611   2,661   2,694   2,726   2,756   2,791   2,818   2,847</t>
  </si>
  <si>
    <t>01/11/06        2,36    2,364   2,374   2,391   2,435   2,502   2,561   2,598   2,644   2,677   2,708   2,738   2,772   2,799   2,832</t>
  </si>
  <si>
    <t>01/10/06        2,361   2,363   2,372   2,386   2,433   2,495   2,551   2,587   2,633   2,664   2,693   2,724   2,757   2,782   2,806</t>
  </si>
  <si>
    <t>01/09/06        2,36    2,363   2,372   2,389   2,433   2,492   2,543   2,582   2,62    2,646   2,673   2,699   2,724   2,745   2,771</t>
  </si>
  <si>
    <t>01/06/06        2,361   2,362   2,37    2,387   2,431   2,491   2,543   2,583   2,623   2,648   2,675   2,703   2,724   2,746   2,773</t>
  </si>
  <si>
    <t>01/05/06        2,36    2,362   2,369   2,39    2,43    2,49    2,546   2,583   2,628   2,657   2,686   2,715   2,741   2,765   2,79</t>
  </si>
  <si>
    <t>01/04/06        2,362   2,364   2,373   2,393   2,432   2,489   2,552   2,593   2,64    2,676   2,708   2,742   2,773   2,801   2,829</t>
  </si>
  <si>
    <t>01/03/06        2,362   2,363   2,375   2,398   2,432   2,489   2,551   2,594   2,643   2,685   2,723   2,762   2,799   2,831   2,861</t>
  </si>
  <si>
    <t>01/02/06        2,361   2,363   2,374   2,399   2,434   2,488   2,55    2,595   2,643   2,684   2,723   2,759   2,798   2,825   2,855</t>
  </si>
  <si>
    <t>Odplačilo glavnice: 60 mesecev</t>
  </si>
  <si>
    <t xml:space="preserve">AMORTIZACIJSKI NAČRT ZA DOLGOROČNI KREDIT </t>
  </si>
  <si>
    <t>STROŠKI VODENJA:</t>
  </si>
  <si>
    <t>EURIBOR+</t>
  </si>
  <si>
    <t>Glavnica v EUR</t>
  </si>
  <si>
    <t xml:space="preserve">OBRESTI </t>
  </si>
  <si>
    <t>Obrestna mera:</t>
  </si>
  <si>
    <t>obračun obresti na 360 dni v letu</t>
  </si>
  <si>
    <t xml:space="preserve"> EURIBOR (6M)+0,5%</t>
  </si>
  <si>
    <t>skupaj</t>
  </si>
  <si>
    <t>RAP - Raiffeisen Leasing d.o.o.</t>
  </si>
  <si>
    <t>IZRAČUN NOVE ANUITETE Z UPOŠTEVANJEM NIŽJE GLAVNICE</t>
  </si>
  <si>
    <t>IZRAČUN OBČINE PREVALJE</t>
  </si>
  <si>
    <t>Masarykova 17</t>
  </si>
  <si>
    <t>1000 LJUBLJANA</t>
  </si>
  <si>
    <t>II. VARIANTA - PLAČILA ZAPADEJO NA KONCU OBDOBJA</t>
  </si>
  <si>
    <t>PE Maribor</t>
  </si>
  <si>
    <t>Svetozarevska ul. 6/III. nad.</t>
  </si>
  <si>
    <t>2000 Maribor</t>
  </si>
  <si>
    <t>Leasingojemalec:</t>
  </si>
  <si>
    <t>OBČINA PREVALJE</t>
  </si>
  <si>
    <t>Številka pogodbe:</t>
  </si>
  <si>
    <t>II - 326 - 00 - C</t>
  </si>
  <si>
    <t>Vrednost predmeta leasinga</t>
  </si>
  <si>
    <t xml:space="preserve">  - v EUR</t>
  </si>
  <si>
    <t xml:space="preserve">  - v DEM</t>
  </si>
  <si>
    <t xml:space="preserve">  - v SIT</t>
  </si>
  <si>
    <t xml:space="preserve">                  </t>
  </si>
  <si>
    <t>IZRAČUN LEASINGA</t>
  </si>
  <si>
    <t xml:space="preserve"> </t>
  </si>
  <si>
    <t>Valuta</t>
  </si>
  <si>
    <t>EUR</t>
  </si>
  <si>
    <t>ATS</t>
  </si>
  <si>
    <t>Vrednost leasinga</t>
  </si>
  <si>
    <t>Polog</t>
  </si>
  <si>
    <t>Obrestovana glavnica</t>
  </si>
  <si>
    <t>Obrestna m. - letna</t>
  </si>
  <si>
    <t xml:space="preserve">                   - mesečna</t>
  </si>
  <si>
    <t>Obdobje .     - let</t>
  </si>
  <si>
    <t xml:space="preserve">                   - mesecev</t>
  </si>
  <si>
    <t>Obrok :        - letno</t>
  </si>
  <si>
    <t xml:space="preserve">                   - mesečno</t>
  </si>
  <si>
    <t>PRAVILNA ANUITETA</t>
  </si>
  <si>
    <t>Vsota obrokov</t>
  </si>
  <si>
    <t>Stroški leasinga</t>
  </si>
  <si>
    <t>Odkup</t>
  </si>
  <si>
    <t>Davek na str. leasinga</t>
  </si>
  <si>
    <t>Varščina</t>
  </si>
  <si>
    <t>Plačilo ob sklenitvi pog.</t>
  </si>
  <si>
    <t xml:space="preserve">Obresti </t>
  </si>
  <si>
    <t>Preplačilo - %</t>
  </si>
  <si>
    <t>RAP- Raiffeisen Leasing d.o.o.</t>
  </si>
  <si>
    <t>Komenskega ulica 12</t>
  </si>
  <si>
    <t>Masarykova 17, 1000 Ljubljana</t>
  </si>
  <si>
    <t>Vrednost v EUR</t>
  </si>
  <si>
    <t>2000 MARIBOR</t>
  </si>
  <si>
    <t xml:space="preserve"> NAČRT ODPLAČEVANJA LEASINGA</t>
  </si>
  <si>
    <t>Glavnica</t>
  </si>
  <si>
    <t>Obr.mera 
letna</t>
  </si>
  <si>
    <t>Obr. Mera
mesečna</t>
  </si>
  <si>
    <t>Anuiteta</t>
  </si>
  <si>
    <t>Odplačilo</t>
  </si>
  <si>
    <t>Obr. mera</t>
  </si>
  <si>
    <t>obresti</t>
  </si>
  <si>
    <t>glavnica</t>
  </si>
  <si>
    <t>odkup</t>
  </si>
  <si>
    <t>POVPREČNI TEČAJ</t>
  </si>
  <si>
    <t xml:space="preserve"> v proračunu upoštevan amortizacijski načrt po aneksu in ne naš</t>
  </si>
  <si>
    <t>KREDIT AMORTIZACIJSKI NAČRT ZA KREDIT PO RAZPISU (CESTA LEŠE)</t>
  </si>
  <si>
    <t>JAVNI SKLAD RIBNICA</t>
  </si>
  <si>
    <t xml:space="preserve"> p.p. BANKA KOPER D.D.</t>
  </si>
  <si>
    <t xml:space="preserve">glavnica: </t>
  </si>
  <si>
    <t xml:space="preserve">Obrestna mera: </t>
  </si>
  <si>
    <t>stroški odobritve:</t>
  </si>
  <si>
    <t>SKUPEN STROŠEK:</t>
  </si>
  <si>
    <t>stroški vodenja:</t>
  </si>
  <si>
    <t>ŠTEV.</t>
  </si>
  <si>
    <t xml:space="preserve">REALNE </t>
  </si>
  <si>
    <t>stroški vodenja</t>
  </si>
  <si>
    <t>DNI</t>
  </si>
  <si>
    <t>letna obveznost odplačila kredita za cesto Leše</t>
  </si>
  <si>
    <t>leto 2005</t>
  </si>
  <si>
    <t>leto 2006</t>
  </si>
  <si>
    <t>leto 2007</t>
  </si>
  <si>
    <t>leto 2008</t>
  </si>
  <si>
    <t>leto 2009</t>
  </si>
  <si>
    <t>leto 2010</t>
  </si>
  <si>
    <t>leto 2011</t>
  </si>
  <si>
    <t>leto 2012</t>
  </si>
  <si>
    <t>kredit 17,3 mio</t>
  </si>
  <si>
    <t>letna obveznost odplačila kredita za devetletko in Flisov potok</t>
  </si>
  <si>
    <t>kredit 20,0 mio</t>
  </si>
  <si>
    <t>REALIZIRANI PRIHODKI 2004</t>
  </si>
  <si>
    <t>limit 5% realiziranih prihodkov
v letu 2004</t>
  </si>
  <si>
    <t xml:space="preserve">                     odplačilo glavnice in obresti v tekočem letu</t>
  </si>
  <si>
    <t>limit 10% realiziranih prihodkov 
v letu 2004</t>
  </si>
  <si>
    <t xml:space="preserve">                     obseg zadolžitve</t>
  </si>
  <si>
    <t>glavnica 2009</t>
  </si>
  <si>
    <t>obresti 2009</t>
  </si>
  <si>
    <t>PP</t>
  </si>
  <si>
    <t>Konto</t>
  </si>
  <si>
    <t>KONTO</t>
  </si>
  <si>
    <t>vodenje 2009</t>
  </si>
  <si>
    <t>Odplačilo glavnice: 120 mesecev</t>
  </si>
  <si>
    <t>obračun obresti na 365 dni v letu</t>
  </si>
  <si>
    <t xml:space="preserve"> EURIBOR (3M)+0,25%</t>
  </si>
  <si>
    <t>VODENJE 
V €</t>
  </si>
  <si>
    <t>Stroški obresti od neizkoriščenega kredita:</t>
  </si>
  <si>
    <t>ZAVAROVANJE:</t>
  </si>
  <si>
    <t>4 bianco menice+nepreklicna garancijo proračuna občine</t>
  </si>
  <si>
    <t>NEPOVRATNA SREDSTVA:</t>
  </si>
  <si>
    <t>Zamuda plačila:</t>
  </si>
  <si>
    <t>trenutno</t>
  </si>
  <si>
    <t>STROŠKI PREDČASNEGA ODPLAČILA:</t>
  </si>
  <si>
    <t>lahko, poravnava stroškov banke</t>
  </si>
  <si>
    <t>Zamuda plačila obresti:</t>
  </si>
  <si>
    <t>dodatni % točki</t>
  </si>
  <si>
    <t xml:space="preserve"> 1,2% od kredita oz. najmanj 70€ in največ 500€ + DDV</t>
  </si>
  <si>
    <t>5€ mesečno + DDV = 6€/mes</t>
  </si>
  <si>
    <t>Pogoj za sklepanje pogodbe:</t>
  </si>
  <si>
    <t>Izvajalska pogodba z vsemi prilogami</t>
  </si>
  <si>
    <t>V EUR</t>
  </si>
  <si>
    <t>donacije</t>
  </si>
  <si>
    <t>transferni prihodki za investicije</t>
  </si>
  <si>
    <t>glavnica kredita za cesto Hartl-Strojnik (Abanka )</t>
  </si>
  <si>
    <t xml:space="preserve">glavnica leasinga za telovadnico    </t>
  </si>
  <si>
    <t>Skupaj zadolžitev</t>
  </si>
  <si>
    <t>obrok leasing (glavnica + obresti)</t>
  </si>
  <si>
    <t>Odplačila glavnic</t>
  </si>
  <si>
    <t>Odplačila obresti</t>
  </si>
  <si>
    <t>DEŽELNA BANKA d.d.</t>
  </si>
  <si>
    <t>KONTO BS</t>
  </si>
  <si>
    <t>št.pogodbe</t>
  </si>
  <si>
    <t>BANKA KOPER - JSRS</t>
  </si>
  <si>
    <t>BANKA KOPER D.D.</t>
  </si>
  <si>
    <t>2008 lcS-372/22</t>
  </si>
  <si>
    <t>188/07-DK/SG</t>
  </si>
  <si>
    <t>Obrok</t>
  </si>
  <si>
    <t>005/09-86333/39</t>
  </si>
  <si>
    <t>PODATKI ZA REBALANS 2009</t>
  </si>
  <si>
    <t>ZR 2008</t>
  </si>
  <si>
    <t>glavnica+
obresti 2010</t>
  </si>
  <si>
    <t>glavnica+
obresti 2011</t>
  </si>
  <si>
    <t>glavnica+
obresti 2012</t>
  </si>
  <si>
    <t>glavnica+
obresti 2013</t>
  </si>
  <si>
    <t>glavnica+
obresti 2014</t>
  </si>
  <si>
    <t>glavnica+
obresti 2015</t>
  </si>
  <si>
    <t>glavnica+
obresti 2016</t>
  </si>
  <si>
    <t>glavnica+
obresti 2017</t>
  </si>
  <si>
    <t>glavnica+
obresti 2018</t>
  </si>
  <si>
    <t>glavnica+
obresti 2019</t>
  </si>
  <si>
    <t>kredit Deželna banka - cesta Šentanel - Kot</t>
  </si>
  <si>
    <t>kredit cesta Abanka Vipa d.d. - cesta Hartl-Strojnik</t>
  </si>
  <si>
    <t xml:space="preserve">kredit Javni sklad Ribnica - cesta Leše </t>
  </si>
  <si>
    <t>kredit Javni sklad Ribnica - cesta Šentanel - Kot</t>
  </si>
  <si>
    <t xml:space="preserve">ZADOLŽITEV NA DAN </t>
  </si>
  <si>
    <t>glavnica kredita za cesto Leše (Javni sklad)</t>
  </si>
  <si>
    <t>glavnica kredita za cesto Šentanel - Kot (Javni sklad)</t>
  </si>
  <si>
    <t xml:space="preserve">PRIHODKI </t>
  </si>
  <si>
    <t xml:space="preserve">realizirani prihodki </t>
  </si>
  <si>
    <t>ODPLAČILO GLAVNIC IN OBRESTI</t>
  </si>
  <si>
    <t>8% PRIHODKOV - 
odplačilo glavnice in obresti v enem letu</t>
  </si>
  <si>
    <t>dodatno možno odplačilo glavnice 
in obresti na letnem nivoju</t>
  </si>
  <si>
    <t>ZR 2009</t>
  </si>
  <si>
    <t>skupaj 2010</t>
  </si>
  <si>
    <t xml:space="preserve"> EURIBOR (6M)+3,5%</t>
  </si>
  <si>
    <t>kredit Deželna banka - cesta Žerjavle, DD in knjižnica</t>
  </si>
  <si>
    <t>glavnica kredita (Deželna banka Cesta Žerjavle, DD in knjižnica)</t>
  </si>
  <si>
    <t xml:space="preserve">Deželna Banka </t>
  </si>
  <si>
    <t>44/09-DK/SG</t>
  </si>
  <si>
    <t xml:space="preserve"> ODPLAČILA GLAVNIC IN OBRESTI ZA LETO 2011</t>
  </si>
  <si>
    <t xml:space="preserve">BANKA KOPER </t>
  </si>
  <si>
    <t>136/10-90985/77</t>
  </si>
  <si>
    <t>Obresti 2011</t>
  </si>
  <si>
    <t>Nov kredit 360.000 1.8.2011</t>
  </si>
  <si>
    <t>ZR 2010</t>
  </si>
  <si>
    <t xml:space="preserve">skupaj odplačilo v enem letu </t>
  </si>
  <si>
    <t>glavnica kredita za  cesto Šentanel, Kot (Deželna banka)</t>
  </si>
  <si>
    <t>glavnica kredita za investicije Račel LOG, Ureditev
 mestnega jedra , Cesta Štopar-Poljana, Odvodnjavanje
 in čiščenje odpadnih vod (Banka Koper 23.12.2010)</t>
  </si>
  <si>
    <t>kredit  (Banka Koper 2010)</t>
  </si>
  <si>
    <t>Euribor (6m) = 1,716</t>
  </si>
  <si>
    <t>glavnica 11</t>
  </si>
  <si>
    <t>obresti 2011</t>
  </si>
  <si>
    <t>glavnica 2011</t>
  </si>
  <si>
    <t>KREDITOJEMALEC:</t>
  </si>
  <si>
    <t>AMORTIZACIJSKI NAČRT</t>
  </si>
  <si>
    <t>od - do</t>
  </si>
  <si>
    <t>- linearni obračun obresti (upoštevano dejansko št. dni v mesecu in letu)</t>
  </si>
  <si>
    <t>- pri izračunu je upoštevano koriščenje celotnega kredita na dan 01.02.2009;</t>
  </si>
  <si>
    <t>Odobreni kredit:</t>
  </si>
  <si>
    <t>- obresti se obračunavajo in plačujejo mesečno</t>
  </si>
  <si>
    <t>- izračuni so informativne narave</t>
  </si>
  <si>
    <t>Letna obr.mera:</t>
  </si>
  <si>
    <t xml:space="preserve">EURIBOR (za posle z ročnostjo 3 mesece) + 1,8 odstotne točke   </t>
  </si>
  <si>
    <t>(v izračunu je upoštevana predpostavka, da se stopnja EURIBOR-ja ne spreminja)</t>
  </si>
  <si>
    <t>Odplačilna doba:</t>
  </si>
  <si>
    <t xml:space="preserve"> mesecev</t>
  </si>
  <si>
    <t>Moratorij:</t>
  </si>
  <si>
    <t>Skupno število obrokov:</t>
  </si>
  <si>
    <t>Znesek obroka:</t>
  </si>
  <si>
    <t>dni</t>
  </si>
  <si>
    <t>leto 2013</t>
  </si>
  <si>
    <t>leto 2014</t>
  </si>
  <si>
    <t>vsi zneski so v EUR</t>
  </si>
  <si>
    <t>Obdobje</t>
  </si>
  <si>
    <t>Število</t>
  </si>
  <si>
    <t>Obresti</t>
  </si>
  <si>
    <t>Znesek</t>
  </si>
  <si>
    <t>Preostala</t>
  </si>
  <si>
    <t>Skupaj</t>
  </si>
  <si>
    <t>Plačila</t>
  </si>
  <si>
    <t>obrokov</t>
  </si>
  <si>
    <t>obroka</t>
  </si>
  <si>
    <t>za plačilo</t>
  </si>
  <si>
    <t>po letih</t>
  </si>
  <si>
    <t>SKUPAJ</t>
  </si>
  <si>
    <t>Euribor (3m) =1,434</t>
  </si>
  <si>
    <t>Glavnica 2011</t>
  </si>
  <si>
    <t>Skupaj 2011</t>
  </si>
  <si>
    <t>EURIBOR (3m)+0,5%</t>
  </si>
  <si>
    <t>glavnica+
obresti 2020</t>
  </si>
  <si>
    <t>glavnica+
obresti 2021</t>
  </si>
  <si>
    <t>ZBIR</t>
  </si>
  <si>
    <t>- pri izračunu je upoštevano koriščenje celotnega kredita na dan 01.10.2011</t>
  </si>
  <si>
    <t>Euribor (6m) = 1,716%</t>
  </si>
  <si>
    <t>ZR 2011</t>
  </si>
  <si>
    <t>prejeta sredstva iz EU</t>
  </si>
  <si>
    <t xml:space="preserve">    </t>
  </si>
  <si>
    <t>KVOTA ZA ZADOLŽITEV V LETU 2012</t>
  </si>
  <si>
    <t>glavnica+
obresti 2022</t>
  </si>
  <si>
    <t>KD Banka 2011</t>
  </si>
  <si>
    <t>glavnica kredita za investicije nakupi zemljišč(Javni sklad 2011)</t>
  </si>
  <si>
    <t>glavnica kredita za investicijo Zamenjvava strešne
 kritine na objektih OŠ Franja Goloba Prevalje (Javni sklad 2011)</t>
  </si>
  <si>
    <t>glavnica kredita za investicijo Rekonstrukcija ceste na Holmcu(Javni sklad 2011)</t>
  </si>
  <si>
    <t>glavnica kredita za investicijo Ureditev mestnega jedra Prevalje( Javni sklad 2011)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</si>
</sst>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.00\ &quot;SIT&quot;;\-#,##0.00\ &quot;SIT&quot;"/>
    <numFmt numFmtId="166" formatCode="#,##0.00\ &quot;SIT&quot;;[Red]\-#,##0.00\ &quot;SIT&quot;"/>
    <numFmt numFmtId="167" formatCode="_-* #,##0\ &quot;SIT&quot;_-;\-* #,##0\ &quot;SIT&quot;_-;_-* &quot;-&quot;\ &quot;SIT&quot;_-;_-@_-"/>
    <numFmt numFmtId="168" formatCode="_-* #,##0.00\ _S_I_T_-;\-* #,##0.00\ _S_I_T_-;_-* &quot;-&quot;??\ _S_I_T_-;_-@_-"/>
    <numFmt numFmtId="169" formatCode="_(&quot;SIT&quot;* #,##0_);_(&quot;SIT&quot;* \(#,##0\);_(&quot;SIT&quot;* &quot;-&quot;_);_(@_)"/>
    <numFmt numFmtId="170" formatCode="_(* #,##0_);_(* \(#,##0\);_(* &quot;-&quot;_);_(@_)"/>
    <numFmt numFmtId="171" formatCode="_(&quot;SIT&quot;* #,##0.00_);_(&quot;SIT&quot;* \(#,##0.00\);_(&quot;SIT&quot;* &quot;-&quot;??_);_(@_)"/>
    <numFmt numFmtId="172" formatCode="_(* #,##0.00_);_(* \(#,##0.00\);_(* &quot;-&quot;??_);_(@_)"/>
    <numFmt numFmtId="173" formatCode="0.000"/>
    <numFmt numFmtId="174" formatCode="0.0000000000"/>
    <numFmt numFmtId="175" formatCode="#,##0.00\ [$€-1]"/>
    <numFmt numFmtId="176" formatCode="_(* #,##0.000_);_(* \(#,##0.000\);_(* &quot;-&quot;??_);_(@_)"/>
    <numFmt numFmtId="177" formatCode="0.000%"/>
    <numFmt numFmtId="178" formatCode="#,##0.00\ &quot;ATS&quot;;\-#,##0.00\ &quot;ATS&quot;"/>
    <numFmt numFmtId="179" formatCode="0.0000000%"/>
    <numFmt numFmtId="180" formatCode="&quot;$&quot;#,##0.00_);[Red]\(&quot;$&quot;#,##0.00\)"/>
    <numFmt numFmtId="181" formatCode="0.00000%"/>
    <numFmt numFmtId="182" formatCode="0.00000000%"/>
    <numFmt numFmtId="183" formatCode="0.000000000%"/>
    <numFmt numFmtId="184" formatCode="#,##0.00\ &quot;ATS&quot;"/>
    <numFmt numFmtId="185" formatCode="#,##0.00\ &quot;SIT&quot;;\-#,##0.00\ &quot;DEM&quot;"/>
    <numFmt numFmtId="186" formatCode="#,##0.00\ &quot;DEM&quot;;\-#,##0.00\ &quot;DEM&quot;"/>
    <numFmt numFmtId="187" formatCode="#,##0\ &quot;SIT&quot;;\-#,##0\ &quot;DEM&quot;"/>
    <numFmt numFmtId="188" formatCode="#,##0\ &quot;DEM&quot;;\-#,##0\ &quot;DEM&quot;"/>
    <numFmt numFmtId="189" formatCode="#,##0.000000\ &quot;SIT&quot;;\-#,##0.000000\ &quot;DEM&quot;"/>
    <numFmt numFmtId="190" formatCode="mmm/\ yy"/>
    <numFmt numFmtId="191" formatCode="#,##0.00\ &quot;EUR&quot;"/>
    <numFmt numFmtId="192" formatCode="0.0000000000%"/>
    <numFmt numFmtId="193" formatCode="0.00000000000%"/>
    <numFmt numFmtId="194" formatCode="#,##0.00\ [$EUR]"/>
    <numFmt numFmtId="195" formatCode="#,##0.00_ ;\-#,##0.00\ "/>
    <numFmt numFmtId="196" formatCode="dd\-mmm\-yy_)"/>
    <numFmt numFmtId="197" formatCode="0.0%"/>
    <numFmt numFmtId="198" formatCode="#,##0_);\(#,##0\)"/>
    <numFmt numFmtId="199" formatCode="#,##0.0&quot;SIT&quot;_);\(#,##0.0&quot;SIT&quot;\)"/>
    <numFmt numFmtId="200" formatCode="#,##0.00_);\(#,##0.00\)"/>
    <numFmt numFmtId="201" formatCode="#,##0.0000"/>
    <numFmt numFmtId="202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1"/>
      <name val="Arial CE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name val="Helv"/>
      <family val="0"/>
    </font>
    <font>
      <b/>
      <u val="single"/>
      <sz val="20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sz val="20"/>
      <name val="Helv"/>
      <family val="0"/>
    </font>
    <font>
      <b/>
      <sz val="16"/>
      <name val="Arial CE"/>
      <family val="2"/>
    </font>
    <font>
      <b/>
      <sz val="16"/>
      <color indexed="48"/>
      <name val="Arial CE"/>
      <family val="2"/>
    </font>
    <font>
      <sz val="14"/>
      <name val="Helv"/>
      <family val="0"/>
    </font>
    <font>
      <sz val="16"/>
      <name val="Arial CE"/>
      <family val="2"/>
    </font>
    <font>
      <sz val="16"/>
      <color indexed="12"/>
      <name val="Arial CE"/>
      <family val="2"/>
    </font>
    <font>
      <sz val="16"/>
      <color indexed="56"/>
      <name val="Arial CE"/>
      <family val="2"/>
    </font>
    <font>
      <b/>
      <sz val="16"/>
      <color indexed="56"/>
      <name val="Arial CE"/>
      <family val="2"/>
    </font>
    <font>
      <b/>
      <sz val="14"/>
      <name val="Helv"/>
      <family val="0"/>
    </font>
    <font>
      <sz val="16"/>
      <name val="Helv"/>
      <family val="0"/>
    </font>
    <font>
      <sz val="14"/>
      <color indexed="48"/>
      <name val="Helv"/>
      <family val="0"/>
    </font>
    <font>
      <sz val="14"/>
      <name val="Arial CE"/>
      <family val="2"/>
    </font>
    <font>
      <sz val="16"/>
      <color indexed="18"/>
      <name val="Arial CE"/>
      <family val="2"/>
    </font>
    <font>
      <b/>
      <u val="single"/>
      <sz val="1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9" fontId="26" fillId="0" borderId="0">
      <alignment/>
      <protection/>
    </xf>
    <xf numFmtId="0" fontId="10" fillId="0" borderId="0">
      <alignment/>
      <protection/>
    </xf>
    <xf numFmtId="185" fontId="0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4" fontId="0" fillId="0" borderId="4" xfId="0" applyNumberFormat="1" applyBorder="1" applyAlignment="1">
      <alignment/>
    </xf>
    <xf numFmtId="0" fontId="1" fillId="0" borderId="4" xfId="0" applyFont="1" applyBorder="1" applyAlignment="1">
      <alignment/>
    </xf>
    <xf numFmtId="4" fontId="0" fillId="0" borderId="5" xfId="0" applyNumberFormat="1" applyBorder="1" applyAlignment="1">
      <alignment/>
    </xf>
    <xf numFmtId="0" fontId="1" fillId="0" borderId="5" xfId="0" applyFont="1" applyBorder="1" applyAlignment="1">
      <alignment/>
    </xf>
    <xf numFmtId="17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172" fontId="1" fillId="0" borderId="0" xfId="23" applyFont="1" applyAlignment="1">
      <alignment/>
    </xf>
    <xf numFmtId="10" fontId="0" fillId="0" borderId="1" xfId="0" applyNumberFormat="1" applyBorder="1" applyAlignment="1">
      <alignment/>
    </xf>
    <xf numFmtId="176" fontId="0" fillId="0" borderId="3" xfId="23" applyNumberFormat="1" applyBorder="1" applyAlignment="1">
      <alignment/>
    </xf>
    <xf numFmtId="177" fontId="0" fillId="0" borderId="0" xfId="20" applyNumberFormat="1" applyAlignment="1">
      <alignment/>
    </xf>
    <xf numFmtId="185" fontId="8" fillId="0" borderId="0" xfId="18" applyFont="1">
      <alignment/>
      <protection/>
    </xf>
    <xf numFmtId="185" fontId="9" fillId="0" borderId="0" xfId="18" applyFont="1">
      <alignment/>
      <protection/>
    </xf>
    <xf numFmtId="185" fontId="10" fillId="0" borderId="0" xfId="18" applyFont="1">
      <alignment/>
      <protection/>
    </xf>
    <xf numFmtId="185" fontId="10" fillId="0" borderId="0" xfId="18" applyFont="1" applyAlignment="1">
      <alignment horizontal="center"/>
      <protection/>
    </xf>
    <xf numFmtId="185" fontId="8" fillId="2" borderId="0" xfId="18" applyFont="1" applyFill="1">
      <alignment/>
      <protection/>
    </xf>
    <xf numFmtId="185" fontId="9" fillId="2" borderId="0" xfId="18" applyFont="1" applyFill="1">
      <alignment/>
      <protection/>
    </xf>
    <xf numFmtId="185" fontId="10" fillId="2" borderId="0" xfId="18" applyFont="1" applyFill="1">
      <alignment/>
      <protection/>
    </xf>
    <xf numFmtId="185" fontId="10" fillId="2" borderId="0" xfId="18" applyFont="1" applyFill="1" applyAlignment="1">
      <alignment horizontal="center"/>
      <protection/>
    </xf>
    <xf numFmtId="185" fontId="11" fillId="0" borderId="0" xfId="18" applyFont="1">
      <alignment/>
      <protection/>
    </xf>
    <xf numFmtId="187" fontId="10" fillId="0" borderId="0" xfId="18" applyNumberFormat="1" applyFont="1" applyAlignment="1">
      <alignment horizontal="right"/>
      <protection/>
    </xf>
    <xf numFmtId="185" fontId="11" fillId="2" borderId="0" xfId="18" applyFont="1" applyFill="1">
      <alignment/>
      <protection/>
    </xf>
    <xf numFmtId="187" fontId="10" fillId="2" borderId="0" xfId="18" applyNumberFormat="1" applyFont="1" applyFill="1" applyAlignment="1">
      <alignment horizontal="right"/>
      <protection/>
    </xf>
    <xf numFmtId="187" fontId="10" fillId="0" borderId="0" xfId="18" applyNumberFormat="1" applyFont="1">
      <alignment/>
      <protection/>
    </xf>
    <xf numFmtId="185" fontId="12" fillId="0" borderId="0" xfId="18" applyFont="1">
      <alignment/>
      <protection/>
    </xf>
    <xf numFmtId="185" fontId="12" fillId="2" borderId="0" xfId="18" applyFont="1" applyFill="1">
      <alignment/>
      <protection/>
    </xf>
    <xf numFmtId="187" fontId="10" fillId="2" borderId="0" xfId="18" applyNumberFormat="1" applyFont="1" applyFill="1">
      <alignment/>
      <protection/>
    </xf>
    <xf numFmtId="2" fontId="10" fillId="0" borderId="0" xfId="18" applyNumberFormat="1" applyFont="1">
      <alignment/>
      <protection/>
    </xf>
    <xf numFmtId="2" fontId="10" fillId="0" borderId="0" xfId="18" applyNumberFormat="1" applyFont="1" applyAlignment="1">
      <alignment horizontal="right"/>
      <protection/>
    </xf>
    <xf numFmtId="2" fontId="10" fillId="2" borderId="0" xfId="18" applyNumberFormat="1" applyFont="1" applyFill="1">
      <alignment/>
      <protection/>
    </xf>
    <xf numFmtId="2" fontId="10" fillId="2" borderId="0" xfId="18" applyNumberFormat="1" applyFont="1" applyFill="1" applyAlignment="1">
      <alignment horizontal="right"/>
      <protection/>
    </xf>
    <xf numFmtId="185" fontId="1" fillId="0" borderId="0" xfId="18" applyFont="1">
      <alignment/>
      <protection/>
    </xf>
    <xf numFmtId="185" fontId="1" fillId="2" borderId="0" xfId="18" applyFont="1" applyFill="1">
      <alignment/>
      <protection/>
    </xf>
    <xf numFmtId="185" fontId="11" fillId="0" borderId="0" xfId="18" applyFont="1">
      <alignment/>
      <protection/>
    </xf>
    <xf numFmtId="185" fontId="11" fillId="2" borderId="0" xfId="18" applyFont="1" applyFill="1">
      <alignment/>
      <protection/>
    </xf>
    <xf numFmtId="185" fontId="13" fillId="0" borderId="0" xfId="18" applyFont="1">
      <alignment/>
      <protection/>
    </xf>
    <xf numFmtId="185" fontId="13" fillId="2" borderId="0" xfId="18" applyFont="1" applyFill="1">
      <alignment/>
      <protection/>
    </xf>
    <xf numFmtId="191" fontId="10" fillId="0" borderId="0" xfId="18" applyNumberFormat="1" applyFont="1">
      <alignment/>
      <protection/>
    </xf>
    <xf numFmtId="189" fontId="10" fillId="0" borderId="0" xfId="18" applyNumberFormat="1" applyFont="1">
      <alignment/>
      <protection/>
    </xf>
    <xf numFmtId="186" fontId="10" fillId="0" borderId="0" xfId="18" applyNumberFormat="1" applyFont="1">
      <alignment/>
      <protection/>
    </xf>
    <xf numFmtId="191" fontId="10" fillId="2" borderId="0" xfId="18" applyNumberFormat="1" applyFont="1" applyFill="1">
      <alignment/>
      <protection/>
    </xf>
    <xf numFmtId="189" fontId="10" fillId="2" borderId="0" xfId="18" applyNumberFormat="1" applyFont="1" applyFill="1">
      <alignment/>
      <protection/>
    </xf>
    <xf numFmtId="186" fontId="10" fillId="2" borderId="0" xfId="18" applyNumberFormat="1" applyFont="1" applyFill="1">
      <alignment/>
      <protection/>
    </xf>
    <xf numFmtId="165" fontId="10" fillId="0" borderId="0" xfId="18" applyNumberFormat="1" applyFont="1">
      <alignment/>
      <protection/>
    </xf>
    <xf numFmtId="165" fontId="10" fillId="2" borderId="0" xfId="18" applyNumberFormat="1" applyFont="1" applyFill="1">
      <alignment/>
      <protection/>
    </xf>
    <xf numFmtId="185" fontId="10" fillId="0" borderId="0" xfId="18" applyFont="1" applyAlignment="1">
      <alignment horizontal="right"/>
      <protection/>
    </xf>
    <xf numFmtId="185" fontId="10" fillId="2" borderId="0" xfId="18" applyFont="1" applyFill="1" applyAlignment="1">
      <alignment horizontal="right"/>
      <protection/>
    </xf>
    <xf numFmtId="166" fontId="10" fillId="0" borderId="0" xfId="18" applyNumberFormat="1" applyFont="1">
      <alignment/>
      <protection/>
    </xf>
    <xf numFmtId="166" fontId="10" fillId="2" borderId="0" xfId="18" applyNumberFormat="1" applyFont="1" applyFill="1">
      <alignment/>
      <protection/>
    </xf>
    <xf numFmtId="181" fontId="10" fillId="0" borderId="0" xfId="18" applyNumberFormat="1" applyFont="1">
      <alignment/>
      <protection/>
    </xf>
    <xf numFmtId="166" fontId="11" fillId="0" borderId="0" xfId="18" applyNumberFormat="1" applyFont="1">
      <alignment/>
      <protection/>
    </xf>
    <xf numFmtId="186" fontId="11" fillId="0" borderId="0" xfId="18" applyNumberFormat="1" applyFont="1">
      <alignment/>
      <protection/>
    </xf>
    <xf numFmtId="181" fontId="10" fillId="2" borderId="0" xfId="18" applyNumberFormat="1" applyFont="1" applyFill="1">
      <alignment/>
      <protection/>
    </xf>
    <xf numFmtId="166" fontId="11" fillId="2" borderId="0" xfId="18" applyNumberFormat="1" applyFont="1" applyFill="1">
      <alignment/>
      <protection/>
    </xf>
    <xf numFmtId="186" fontId="11" fillId="2" borderId="0" xfId="18" applyNumberFormat="1" applyFont="1" applyFill="1">
      <alignment/>
      <protection/>
    </xf>
    <xf numFmtId="10" fontId="10" fillId="0" borderId="0" xfId="18" applyNumberFormat="1" applyFont="1">
      <alignment/>
      <protection/>
    </xf>
    <xf numFmtId="182" fontId="10" fillId="0" borderId="0" xfId="18" applyNumberFormat="1" applyFont="1">
      <alignment/>
      <protection/>
    </xf>
    <xf numFmtId="10" fontId="10" fillId="2" borderId="0" xfId="18" applyNumberFormat="1" applyFont="1" applyFill="1">
      <alignment/>
      <protection/>
    </xf>
    <xf numFmtId="182" fontId="10" fillId="2" borderId="0" xfId="18" applyNumberFormat="1" applyFont="1" applyFill="1">
      <alignment/>
      <protection/>
    </xf>
    <xf numFmtId="179" fontId="10" fillId="0" borderId="0" xfId="18" applyNumberFormat="1" applyFont="1">
      <alignment/>
      <protection/>
    </xf>
    <xf numFmtId="179" fontId="10" fillId="0" borderId="0" xfId="20" applyNumberFormat="1" applyFont="1" applyAlignment="1">
      <alignment/>
    </xf>
    <xf numFmtId="177" fontId="9" fillId="0" borderId="0" xfId="20" applyNumberFormat="1" applyFont="1" applyAlignment="1">
      <alignment/>
    </xf>
    <xf numFmtId="179" fontId="9" fillId="0" borderId="0" xfId="18" applyNumberFormat="1" applyFont="1">
      <alignment/>
      <protection/>
    </xf>
    <xf numFmtId="183" fontId="10" fillId="0" borderId="0" xfId="20" applyNumberFormat="1" applyFont="1" applyAlignment="1">
      <alignment/>
    </xf>
    <xf numFmtId="179" fontId="9" fillId="2" borderId="0" xfId="18" applyNumberFormat="1" applyFont="1" applyFill="1">
      <alignment/>
      <protection/>
    </xf>
    <xf numFmtId="183" fontId="10" fillId="2" borderId="0" xfId="20" applyNumberFormat="1" applyFont="1" applyFill="1" applyAlignment="1">
      <alignment/>
    </xf>
    <xf numFmtId="179" fontId="10" fillId="2" borderId="0" xfId="18" applyNumberFormat="1" applyFont="1" applyFill="1">
      <alignment/>
      <protection/>
    </xf>
    <xf numFmtId="1" fontId="10" fillId="0" borderId="0" xfId="18" applyNumberFormat="1" applyFont="1">
      <alignment/>
      <protection/>
    </xf>
    <xf numFmtId="1" fontId="10" fillId="2" borderId="0" xfId="18" applyNumberFormat="1" applyFont="1" applyFill="1">
      <alignment/>
      <protection/>
    </xf>
    <xf numFmtId="180" fontId="10" fillId="0" borderId="0" xfId="18" applyNumberFormat="1" applyFont="1">
      <alignment/>
      <protection/>
    </xf>
    <xf numFmtId="164" fontId="10" fillId="0" borderId="0" xfId="18" applyNumberFormat="1" applyFont="1">
      <alignment/>
      <protection/>
    </xf>
    <xf numFmtId="188" fontId="10" fillId="0" borderId="0" xfId="18" applyNumberFormat="1" applyFont="1">
      <alignment/>
      <protection/>
    </xf>
    <xf numFmtId="180" fontId="10" fillId="2" borderId="0" xfId="18" applyNumberFormat="1" applyFont="1" applyFill="1">
      <alignment/>
      <protection/>
    </xf>
    <xf numFmtId="164" fontId="10" fillId="2" borderId="0" xfId="18" applyNumberFormat="1" applyFont="1" applyFill="1">
      <alignment/>
      <protection/>
    </xf>
    <xf numFmtId="188" fontId="10" fillId="2" borderId="0" xfId="18" applyNumberFormat="1" applyFont="1" applyFill="1">
      <alignment/>
      <protection/>
    </xf>
    <xf numFmtId="165" fontId="11" fillId="0" borderId="0" xfId="18" applyNumberFormat="1" applyFont="1">
      <alignment/>
      <protection/>
    </xf>
    <xf numFmtId="186" fontId="1" fillId="0" borderId="0" xfId="18" applyNumberFormat="1" applyFont="1">
      <alignment/>
      <protection/>
    </xf>
    <xf numFmtId="191" fontId="12" fillId="0" borderId="0" xfId="18" applyNumberFormat="1" applyFont="1">
      <alignment/>
      <protection/>
    </xf>
    <xf numFmtId="191" fontId="14" fillId="2" borderId="0" xfId="18" applyNumberFormat="1" applyFont="1" applyFill="1">
      <alignment/>
      <protection/>
    </xf>
    <xf numFmtId="165" fontId="11" fillId="2" borderId="0" xfId="18" applyNumberFormat="1" applyFont="1" applyFill="1">
      <alignment/>
      <protection/>
    </xf>
    <xf numFmtId="186" fontId="1" fillId="2" borderId="0" xfId="18" applyNumberFormat="1" applyFont="1" applyFill="1">
      <alignment/>
      <protection/>
    </xf>
    <xf numFmtId="185" fontId="10" fillId="0" borderId="0" xfId="18" applyFont="1">
      <alignment/>
      <protection/>
    </xf>
    <xf numFmtId="186" fontId="0" fillId="0" borderId="0" xfId="18" applyNumberFormat="1">
      <alignment/>
      <protection/>
    </xf>
    <xf numFmtId="185" fontId="10" fillId="2" borderId="0" xfId="18" applyFont="1" applyFill="1">
      <alignment/>
      <protection/>
    </xf>
    <xf numFmtId="186" fontId="0" fillId="2" borderId="0" xfId="18" applyNumberFormat="1" applyFill="1">
      <alignment/>
      <protection/>
    </xf>
    <xf numFmtId="184" fontId="10" fillId="0" borderId="0" xfId="18" applyNumberFormat="1" applyFont="1">
      <alignment/>
      <protection/>
    </xf>
    <xf numFmtId="9" fontId="10" fillId="0" borderId="0" xfId="18" applyNumberFormat="1" applyFont="1" applyAlignment="1">
      <alignment horizontal="right"/>
      <protection/>
    </xf>
    <xf numFmtId="9" fontId="10" fillId="2" borderId="0" xfId="18" applyNumberFormat="1" applyFont="1" applyFill="1" applyAlignment="1">
      <alignment horizontal="right"/>
      <protection/>
    </xf>
    <xf numFmtId="14" fontId="10" fillId="0" borderId="0" xfId="18" applyNumberFormat="1" applyFont="1">
      <alignment/>
      <protection/>
    </xf>
    <xf numFmtId="14" fontId="10" fillId="2" borderId="0" xfId="18" applyNumberFormat="1" applyFont="1" applyFill="1">
      <alignment/>
      <protection/>
    </xf>
    <xf numFmtId="183" fontId="9" fillId="0" borderId="0" xfId="20" applyNumberFormat="1" applyFont="1" applyAlignment="1">
      <alignment/>
    </xf>
    <xf numFmtId="10" fontId="9" fillId="0" borderId="0" xfId="20" applyNumberFormat="1" applyFont="1" applyAlignment="1">
      <alignment/>
    </xf>
    <xf numFmtId="183" fontId="9" fillId="2" borderId="0" xfId="20" applyNumberFormat="1" applyFont="1" applyFill="1" applyAlignment="1">
      <alignment/>
    </xf>
    <xf numFmtId="10" fontId="9" fillId="2" borderId="0" xfId="20" applyNumberFormat="1" applyFont="1" applyFill="1" applyAlignment="1">
      <alignment/>
    </xf>
    <xf numFmtId="10" fontId="10" fillId="0" borderId="0" xfId="20" applyNumberFormat="1" applyFont="1" applyAlignment="1">
      <alignment/>
    </xf>
    <xf numFmtId="10" fontId="10" fillId="2" borderId="0" xfId="20" applyNumberFormat="1" applyFont="1" applyFill="1" applyAlignment="1">
      <alignment/>
    </xf>
    <xf numFmtId="185" fontId="14" fillId="0" borderId="0" xfId="18" applyFont="1">
      <alignment/>
      <protection/>
    </xf>
    <xf numFmtId="185" fontId="14" fillId="2" borderId="0" xfId="18" applyFont="1" applyFill="1">
      <alignment/>
      <protection/>
    </xf>
    <xf numFmtId="192" fontId="10" fillId="0" borderId="0" xfId="20" applyNumberFormat="1" applyFont="1" applyAlignment="1">
      <alignment/>
    </xf>
    <xf numFmtId="185" fontId="10" fillId="0" borderId="0" xfId="18" applyFont="1" applyAlignment="1">
      <alignment horizontal="center" wrapText="1"/>
      <protection/>
    </xf>
    <xf numFmtId="4" fontId="11" fillId="0" borderId="0" xfId="18" applyNumberFormat="1" applyFont="1">
      <alignment/>
      <protection/>
    </xf>
    <xf numFmtId="177" fontId="10" fillId="0" borderId="0" xfId="20" applyNumberFormat="1" applyFont="1" applyAlignment="1">
      <alignment/>
    </xf>
    <xf numFmtId="179" fontId="10" fillId="0" borderId="0" xfId="18" applyNumberFormat="1" applyFont="1" applyFill="1">
      <alignment/>
      <protection/>
    </xf>
    <xf numFmtId="191" fontId="10" fillId="0" borderId="0" xfId="18" applyNumberFormat="1" applyFont="1" applyFill="1">
      <alignment/>
      <protection/>
    </xf>
    <xf numFmtId="190" fontId="10" fillId="0" borderId="0" xfId="18" applyNumberFormat="1" applyFont="1" applyFill="1">
      <alignment/>
      <protection/>
    </xf>
    <xf numFmtId="178" fontId="10" fillId="0" borderId="0" xfId="18" applyNumberFormat="1" applyFont="1">
      <alignment/>
      <protection/>
    </xf>
    <xf numFmtId="4" fontId="10" fillId="2" borderId="0" xfId="18" applyNumberFormat="1" applyFont="1" applyFill="1">
      <alignment/>
      <protection/>
    </xf>
    <xf numFmtId="190" fontId="10" fillId="2" borderId="0" xfId="18" applyNumberFormat="1" applyFont="1" applyFill="1">
      <alignment/>
      <protection/>
    </xf>
    <xf numFmtId="4" fontId="10" fillId="0" borderId="0" xfId="18" applyNumberFormat="1" applyFont="1">
      <alignment/>
      <protection/>
    </xf>
    <xf numFmtId="1" fontId="11" fillId="0" borderId="0" xfId="18" applyNumberFormat="1" applyFont="1">
      <alignment/>
      <protection/>
    </xf>
    <xf numFmtId="177" fontId="11" fillId="0" borderId="0" xfId="20" applyNumberFormat="1" applyFont="1" applyAlignment="1">
      <alignment/>
    </xf>
    <xf numFmtId="179" fontId="11" fillId="0" borderId="0" xfId="18" applyNumberFormat="1" applyFont="1" applyFill="1">
      <alignment/>
      <protection/>
    </xf>
    <xf numFmtId="191" fontId="11" fillId="0" borderId="0" xfId="18" applyNumberFormat="1" applyFont="1" applyFill="1">
      <alignment/>
      <protection/>
    </xf>
    <xf numFmtId="190" fontId="11" fillId="0" borderId="0" xfId="18" applyNumberFormat="1" applyFont="1" applyFill="1">
      <alignment/>
      <protection/>
    </xf>
    <xf numFmtId="191" fontId="10" fillId="0" borderId="0" xfId="18" applyNumberFormat="1" applyFont="1" applyFill="1" applyBorder="1">
      <alignment/>
      <protection/>
    </xf>
    <xf numFmtId="191" fontId="11" fillId="0" borderId="0" xfId="18" applyNumberFormat="1" applyFont="1" applyFill="1" applyBorder="1">
      <alignment/>
      <protection/>
    </xf>
    <xf numFmtId="4" fontId="15" fillId="0" borderId="0" xfId="18" applyNumberFormat="1" applyFont="1" applyAlignment="1">
      <alignment horizontal="right"/>
      <protection/>
    </xf>
    <xf numFmtId="179" fontId="15" fillId="0" borderId="0" xfId="18" applyNumberFormat="1" applyFont="1" applyAlignment="1">
      <alignment horizontal="right"/>
      <protection/>
    </xf>
    <xf numFmtId="177" fontId="10" fillId="2" borderId="0" xfId="18" applyNumberFormat="1" applyFont="1" applyFill="1">
      <alignment/>
      <protection/>
    </xf>
    <xf numFmtId="4" fontId="11" fillId="0" borderId="0" xfId="18" applyNumberFormat="1" applyFont="1" applyFill="1">
      <alignment/>
      <protection/>
    </xf>
    <xf numFmtId="193" fontId="10" fillId="0" borderId="0" xfId="20" applyNumberFormat="1" applyFont="1" applyAlignment="1">
      <alignment/>
    </xf>
    <xf numFmtId="184" fontId="11" fillId="2" borderId="0" xfId="18" applyNumberFormat="1" applyFont="1" applyFill="1">
      <alignment/>
      <protection/>
    </xf>
    <xf numFmtId="184" fontId="10" fillId="0" borderId="0" xfId="18" applyNumberFormat="1" applyFont="1" applyAlignment="1">
      <alignment horizontal="right"/>
      <protection/>
    </xf>
    <xf numFmtId="0" fontId="11" fillId="0" borderId="0" xfId="18" applyNumberFormat="1" applyFont="1" applyAlignment="1">
      <alignment horizontal="left"/>
      <protection/>
    </xf>
    <xf numFmtId="191" fontId="10" fillId="2" borderId="0" xfId="18" applyNumberFormat="1" applyFont="1" applyFill="1" applyAlignment="1">
      <alignment horizontal="right"/>
      <protection/>
    </xf>
    <xf numFmtId="178" fontId="10" fillId="0" borderId="0" xfId="18" applyNumberFormat="1" applyFont="1" applyAlignment="1">
      <alignment horizontal="center"/>
      <protection/>
    </xf>
    <xf numFmtId="184" fontId="10" fillId="0" borderId="0" xfId="18" applyNumberFormat="1" applyFont="1" applyAlignment="1">
      <alignment horizontal="center"/>
      <protection/>
    </xf>
    <xf numFmtId="0" fontId="15" fillId="0" borderId="0" xfId="18" applyNumberFormat="1" applyFont="1">
      <alignment/>
      <protection/>
    </xf>
    <xf numFmtId="167" fontId="14" fillId="0" borderId="0" xfId="18" applyNumberFormat="1" applyFont="1">
      <alignment/>
      <protection/>
    </xf>
    <xf numFmtId="4" fontId="15" fillId="0" borderId="0" xfId="18" applyNumberFormat="1" applyFont="1">
      <alignment/>
      <protection/>
    </xf>
    <xf numFmtId="179" fontId="11" fillId="0" borderId="0" xfId="18" applyNumberFormat="1" applyFont="1">
      <alignment/>
      <protection/>
    </xf>
    <xf numFmtId="0" fontId="11" fillId="0" borderId="0" xfId="27" applyNumberFormat="1" applyFont="1" applyAlignment="1">
      <alignment horizontal="lef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0" fillId="0" borderId="6" xfId="0" applyNumberFormat="1" applyBorder="1" applyAlignment="1">
      <alignment/>
    </xf>
    <xf numFmtId="4" fontId="1" fillId="0" borderId="6" xfId="0" applyNumberFormat="1" applyFont="1" applyBorder="1" applyAlignment="1">
      <alignment/>
    </xf>
    <xf numFmtId="17" fontId="1" fillId="0" borderId="6" xfId="0" applyNumberFormat="1" applyFont="1" applyBorder="1" applyAlignment="1">
      <alignment/>
    </xf>
    <xf numFmtId="173" fontId="0" fillId="0" borderId="0" xfId="0" applyNumberFormat="1" applyAlignment="1">
      <alignment/>
    </xf>
    <xf numFmtId="4" fontId="5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85" fontId="11" fillId="0" borderId="0" xfId="18" applyFont="1" applyAlignment="1">
      <alignment horizontal="center"/>
      <protection/>
    </xf>
    <xf numFmtId="191" fontId="11" fillId="0" borderId="0" xfId="18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176" fontId="0" fillId="0" borderId="9" xfId="23" applyNumberFormat="1" applyBorder="1" applyAlignment="1">
      <alignment/>
    </xf>
    <xf numFmtId="176" fontId="0" fillId="0" borderId="1" xfId="23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10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1" fillId="0" borderId="0" xfId="0" applyNumberFormat="1" applyFont="1" applyAlignment="1">
      <alignment/>
    </xf>
    <xf numFmtId="0" fontId="23" fillId="0" borderId="0" xfId="17" applyFont="1" applyAlignment="1">
      <alignment horizontal="center"/>
      <protection/>
    </xf>
    <xf numFmtId="0" fontId="10" fillId="0" borderId="0" xfId="17">
      <alignment/>
      <protection/>
    </xf>
    <xf numFmtId="0" fontId="10" fillId="0" borderId="0" xfId="17" applyAlignment="1">
      <alignment horizontal="center"/>
      <protection/>
    </xf>
    <xf numFmtId="0" fontId="24" fillId="0" borderId="0" xfId="17" applyFont="1">
      <alignment/>
      <protection/>
    </xf>
    <xf numFmtId="168" fontId="24" fillId="0" borderId="0" xfId="26" applyFont="1" applyAlignment="1">
      <alignment/>
    </xf>
    <xf numFmtId="0" fontId="14" fillId="0" borderId="0" xfId="17" applyFont="1">
      <alignment/>
      <protection/>
    </xf>
    <xf numFmtId="168" fontId="14" fillId="0" borderId="0" xfId="26" applyFont="1" applyAlignment="1">
      <alignment/>
    </xf>
    <xf numFmtId="0" fontId="14" fillId="0" borderId="0" xfId="17" applyFont="1" applyAlignment="1">
      <alignment horizontal="right"/>
      <protection/>
    </xf>
    <xf numFmtId="0" fontId="10" fillId="0" borderId="0" xfId="17" applyAlignment="1">
      <alignment horizontal="right"/>
      <protection/>
    </xf>
    <xf numFmtId="3" fontId="10" fillId="0" borderId="0" xfId="17" applyNumberFormat="1">
      <alignment/>
      <protection/>
    </xf>
    <xf numFmtId="9" fontId="10" fillId="0" borderId="0" xfId="17" applyNumberFormat="1">
      <alignment/>
      <protection/>
    </xf>
    <xf numFmtId="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14" fillId="0" borderId="0" xfId="26" applyNumberFormat="1" applyFont="1" applyAlignment="1">
      <alignment horizontal="center"/>
    </xf>
    <xf numFmtId="4" fontId="10" fillId="0" borderId="0" xfId="17" applyNumberFormat="1" applyBorder="1">
      <alignment/>
      <protection/>
    </xf>
    <xf numFmtId="0" fontId="10" fillId="0" borderId="0" xfId="17" applyBorder="1">
      <alignment/>
      <protection/>
    </xf>
    <xf numFmtId="0" fontId="14" fillId="0" borderId="0" xfId="17" applyFont="1" applyAlignment="1">
      <alignment horizontal="center"/>
      <protection/>
    </xf>
    <xf numFmtId="4" fontId="10" fillId="0" borderId="0" xfId="17" applyNumberFormat="1">
      <alignment/>
      <protection/>
    </xf>
    <xf numFmtId="0" fontId="11" fillId="0" borderId="6" xfId="17" applyFont="1" applyBorder="1" applyAlignment="1">
      <alignment wrapText="1"/>
      <protection/>
    </xf>
    <xf numFmtId="0" fontId="11" fillId="0" borderId="0" xfId="17" applyFont="1">
      <alignment/>
      <protection/>
    </xf>
    <xf numFmtId="4" fontId="11" fillId="0" borderId="0" xfId="17" applyNumberFormat="1" applyFont="1">
      <alignment/>
      <protection/>
    </xf>
    <xf numFmtId="4" fontId="25" fillId="0" borderId="6" xfId="17" applyNumberFormat="1" applyFont="1" applyBorder="1">
      <alignment/>
      <protection/>
    </xf>
    <xf numFmtId="4" fontId="14" fillId="0" borderId="6" xfId="17" applyNumberFormat="1" applyFont="1" applyBorder="1">
      <alignment/>
      <protection/>
    </xf>
    <xf numFmtId="0" fontId="14" fillId="0" borderId="0" xfId="17" applyFont="1" applyAlignment="1">
      <alignment wrapText="1"/>
      <protection/>
    </xf>
    <xf numFmtId="0" fontId="14" fillId="0" borderId="6" xfId="17" applyFont="1" applyBorder="1">
      <alignment/>
      <protection/>
    </xf>
    <xf numFmtId="0" fontId="24" fillId="0" borderId="6" xfId="17" applyFont="1" applyBorder="1">
      <alignment/>
      <protection/>
    </xf>
    <xf numFmtId="0" fontId="14" fillId="0" borderId="6" xfId="17" applyFont="1" applyBorder="1" applyAlignment="1">
      <alignment horizontal="right"/>
      <protection/>
    </xf>
    <xf numFmtId="172" fontId="24" fillId="0" borderId="0" xfId="23" applyFont="1" applyAlignment="1">
      <alignment/>
    </xf>
    <xf numFmtId="172" fontId="10" fillId="0" borderId="0" xfId="23" applyFont="1" applyAlignment="1">
      <alignment/>
    </xf>
    <xf numFmtId="172" fontId="11" fillId="0" borderId="0" xfId="23" applyFont="1" applyAlignment="1">
      <alignment/>
    </xf>
    <xf numFmtId="0" fontId="14" fillId="0" borderId="0" xfId="17" applyFont="1" applyAlignment="1">
      <alignment horizontal="right" wrapText="1"/>
      <protection/>
    </xf>
    <xf numFmtId="2" fontId="24" fillId="0" borderId="0" xfId="23" applyNumberFormat="1" applyFont="1" applyAlignment="1">
      <alignment/>
    </xf>
    <xf numFmtId="195" fontId="11" fillId="0" borderId="0" xfId="17" applyNumberFormat="1" applyFont="1" applyAlignment="1">
      <alignment/>
      <protection/>
    </xf>
    <xf numFmtId="14" fontId="11" fillId="0" borderId="0" xfId="17" applyNumberFormat="1" applyFont="1">
      <alignment/>
      <protection/>
    </xf>
    <xf numFmtId="0" fontId="24" fillId="0" borderId="0" xfId="17" applyFont="1" applyAlignment="1">
      <alignment horizontal="center"/>
      <protection/>
    </xf>
    <xf numFmtId="4" fontId="24" fillId="0" borderId="0" xfId="17" applyNumberFormat="1" applyFont="1">
      <alignment/>
      <protection/>
    </xf>
    <xf numFmtId="0" fontId="24" fillId="0" borderId="0" xfId="17" applyFont="1" applyAlignment="1">
      <alignment wrapText="1"/>
      <protection/>
    </xf>
    <xf numFmtId="199" fontId="29" fillId="0" borderId="0" xfId="16" applyFont="1" applyAlignment="1">
      <alignment horizontal="left"/>
      <protection/>
    </xf>
    <xf numFmtId="199" fontId="30" fillId="0" borderId="0" xfId="16" applyFont="1">
      <alignment/>
      <protection/>
    </xf>
    <xf numFmtId="199" fontId="23" fillId="0" borderId="0" xfId="16" applyFont="1" applyBorder="1" applyAlignment="1">
      <alignment horizontal="left"/>
      <protection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6" xfId="0" applyFill="1" applyBorder="1" applyAlignment="1">
      <alignment/>
    </xf>
    <xf numFmtId="199" fontId="27" fillId="0" borderId="0" xfId="16" applyFont="1" applyBorder="1" applyAlignment="1">
      <alignment horizontal="left"/>
      <protection/>
    </xf>
    <xf numFmtId="199" fontId="28" fillId="0" borderId="0" xfId="16" applyFont="1">
      <alignment/>
      <protection/>
    </xf>
    <xf numFmtId="199" fontId="24" fillId="0" borderId="0" xfId="16" applyFont="1">
      <alignment/>
      <protection/>
    </xf>
    <xf numFmtId="199" fontId="14" fillId="0" borderId="0" xfId="16" applyFont="1" applyAlignment="1">
      <alignment horizontal="left"/>
      <protection/>
    </xf>
    <xf numFmtId="199" fontId="26" fillId="0" borderId="0" xfId="16">
      <alignment/>
      <protection/>
    </xf>
    <xf numFmtId="199" fontId="31" fillId="0" borderId="0" xfId="16" applyFont="1" applyAlignment="1">
      <alignment horizontal="left"/>
      <protection/>
    </xf>
    <xf numFmtId="199" fontId="31" fillId="0" borderId="0" xfId="16" applyFont="1">
      <alignment/>
      <protection/>
    </xf>
    <xf numFmtId="199" fontId="31" fillId="0" borderId="0" xfId="16" applyFont="1" applyAlignment="1">
      <alignment horizontal="center"/>
      <protection/>
    </xf>
    <xf numFmtId="196" fontId="32" fillId="0" borderId="0" xfId="16" applyNumberFormat="1" applyFont="1" applyAlignment="1" applyProtection="1">
      <alignment horizontal="center"/>
      <protection locked="0"/>
    </xf>
    <xf numFmtId="196" fontId="32" fillId="0" borderId="0" xfId="25" applyNumberFormat="1" applyFont="1" applyAlignment="1" applyProtection="1">
      <alignment horizontal="center"/>
      <protection locked="0"/>
    </xf>
    <xf numFmtId="49" fontId="31" fillId="0" borderId="0" xfId="16" applyNumberFormat="1" applyFont="1" applyAlignment="1">
      <alignment horizontal="left"/>
      <protection/>
    </xf>
    <xf numFmtId="199" fontId="33" fillId="0" borderId="0" xfId="16" applyFont="1">
      <alignment/>
      <protection/>
    </xf>
    <xf numFmtId="199" fontId="34" fillId="0" borderId="0" xfId="16" applyFont="1">
      <alignment/>
      <protection/>
    </xf>
    <xf numFmtId="199" fontId="34" fillId="0" borderId="0" xfId="16" applyFont="1" applyAlignment="1">
      <alignment horizontal="left"/>
      <protection/>
    </xf>
    <xf numFmtId="196" fontId="35" fillId="0" borderId="0" xfId="16" applyNumberFormat="1" applyFont="1" applyProtection="1">
      <alignment/>
      <protection locked="0"/>
    </xf>
    <xf numFmtId="49" fontId="31" fillId="0" borderId="0" xfId="16" applyNumberFormat="1" applyFont="1" applyAlignment="1" applyProtection="1">
      <alignment horizontal="left"/>
      <protection locked="0"/>
    </xf>
    <xf numFmtId="3" fontId="35" fillId="0" borderId="0" xfId="25" applyNumberFormat="1" applyFont="1" applyAlignment="1" applyProtection="1">
      <alignment/>
      <protection locked="0"/>
    </xf>
    <xf numFmtId="199" fontId="31" fillId="0" borderId="0" xfId="16" applyFont="1" applyAlignment="1">
      <alignment horizontal="left" vertical="center"/>
      <protection/>
    </xf>
    <xf numFmtId="199" fontId="36" fillId="0" borderId="0" xfId="16" applyFont="1" applyAlignment="1">
      <alignment vertical="center"/>
      <protection/>
    </xf>
    <xf numFmtId="4" fontId="32" fillId="0" borderId="0" xfId="25" applyNumberFormat="1" applyFont="1" applyAlignment="1" applyProtection="1">
      <alignment vertical="center"/>
      <protection locked="0"/>
    </xf>
    <xf numFmtId="0" fontId="1" fillId="0" borderId="6" xfId="0" applyFont="1" applyBorder="1" applyAlignment="1">
      <alignment horizontal="center"/>
    </xf>
    <xf numFmtId="194" fontId="0" fillId="0" borderId="6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199" fontId="31" fillId="0" borderId="0" xfId="16" applyFont="1" applyAlignment="1">
      <alignment vertical="center"/>
      <protection/>
    </xf>
    <xf numFmtId="199" fontId="37" fillId="0" borderId="0" xfId="16" applyFont="1" applyAlignment="1">
      <alignment vertical="center"/>
      <protection/>
    </xf>
    <xf numFmtId="199" fontId="33" fillId="0" borderId="0" xfId="16" applyFont="1" applyAlignment="1">
      <alignment vertical="center"/>
      <protection/>
    </xf>
    <xf numFmtId="199" fontId="34" fillId="0" borderId="0" xfId="16" applyFont="1" applyAlignment="1">
      <alignment vertical="center"/>
      <protection/>
    </xf>
    <xf numFmtId="177" fontId="32" fillId="0" borderId="0" xfId="16" applyNumberFormat="1" applyFont="1" applyAlignment="1" applyProtection="1">
      <alignment vertical="center"/>
      <protection locked="0"/>
    </xf>
    <xf numFmtId="199" fontId="38" fillId="0" borderId="0" xfId="16" applyFont="1" applyAlignment="1">
      <alignment vertical="center"/>
      <protection/>
    </xf>
    <xf numFmtId="199" fontId="39" fillId="0" borderId="0" xfId="16" applyFont="1" applyAlignment="1">
      <alignment vertical="center"/>
      <protection/>
    </xf>
    <xf numFmtId="197" fontId="31" fillId="0" borderId="0" xfId="16" applyNumberFormat="1" applyFont="1" applyAlignment="1" applyProtection="1">
      <alignment horizontal="left" vertical="center"/>
      <protection/>
    </xf>
    <xf numFmtId="3" fontId="32" fillId="0" borderId="0" xfId="25" applyNumberFormat="1" applyFont="1" applyAlignment="1" applyProtection="1">
      <alignment vertical="center"/>
      <protection locked="0"/>
    </xf>
    <xf numFmtId="199" fontId="34" fillId="0" borderId="0" xfId="16" applyFont="1" applyFill="1" applyBorder="1" applyAlignment="1">
      <alignment horizontal="center" vertical="center"/>
      <protection/>
    </xf>
    <xf numFmtId="199" fontId="31" fillId="0" borderId="0" xfId="16" applyFont="1" applyFill="1" applyBorder="1" applyAlignment="1">
      <alignment horizontal="center" vertical="center"/>
      <protection/>
    </xf>
    <xf numFmtId="4" fontId="32" fillId="0" borderId="0" xfId="25" applyNumberFormat="1" applyFont="1" applyAlignment="1">
      <alignment vertical="center"/>
    </xf>
    <xf numFmtId="199" fontId="37" fillId="0" borderId="0" xfId="16" applyFont="1" applyAlignment="1">
      <alignment horizontal="left" vertical="center"/>
      <protection/>
    </xf>
    <xf numFmtId="199" fontId="40" fillId="0" borderId="0" xfId="16" applyFont="1" applyAlignment="1">
      <alignment vertical="center"/>
      <protection/>
    </xf>
    <xf numFmtId="199" fontId="34" fillId="3" borderId="8" xfId="16" applyFont="1" applyFill="1" applyBorder="1" applyAlignment="1">
      <alignment horizontal="center" vertical="center"/>
      <protection/>
    </xf>
    <xf numFmtId="199" fontId="31" fillId="3" borderId="6" xfId="16" applyFont="1" applyFill="1" applyBorder="1" applyAlignment="1">
      <alignment horizontal="center" vertical="center"/>
      <protection/>
    </xf>
    <xf numFmtId="199" fontId="31" fillId="0" borderId="0" xfId="16" applyFont="1" applyBorder="1" applyAlignment="1">
      <alignment horizontal="left" vertical="center"/>
      <protection/>
    </xf>
    <xf numFmtId="199" fontId="36" fillId="0" borderId="0" xfId="16" applyFont="1" applyBorder="1" applyAlignment="1">
      <alignment vertical="center"/>
      <protection/>
    </xf>
    <xf numFmtId="4" fontId="32" fillId="0" borderId="0" xfId="25" applyNumberFormat="1" applyFont="1" applyBorder="1" applyAlignment="1">
      <alignment vertical="center"/>
    </xf>
    <xf numFmtId="199" fontId="37" fillId="0" borderId="0" xfId="16" applyFont="1" applyBorder="1" applyAlignment="1">
      <alignment vertical="center"/>
      <protection/>
    </xf>
    <xf numFmtId="199" fontId="31" fillId="0" borderId="2" xfId="16" applyFont="1" applyBorder="1" applyAlignment="1">
      <alignment horizontal="center" vertical="center"/>
      <protection/>
    </xf>
    <xf numFmtId="1" fontId="34" fillId="0" borderId="2" xfId="16" applyNumberFormat="1" applyFont="1" applyBorder="1" applyAlignment="1" applyProtection="1">
      <alignment horizontal="center" vertical="center"/>
      <protection/>
    </xf>
    <xf numFmtId="1" fontId="34" fillId="0" borderId="10" xfId="16" applyNumberFormat="1" applyFont="1" applyBorder="1" applyAlignment="1" applyProtection="1">
      <alignment horizontal="center" vertical="center"/>
      <protection/>
    </xf>
    <xf numFmtId="4" fontId="37" fillId="0" borderId="0" xfId="25" applyNumberFormat="1" applyFont="1" applyBorder="1" applyAlignment="1">
      <alignment vertical="center"/>
    </xf>
    <xf numFmtId="199" fontId="31" fillId="0" borderId="3" xfId="16" applyFont="1" applyBorder="1" applyAlignment="1">
      <alignment horizontal="center" vertical="center"/>
      <protection/>
    </xf>
    <xf numFmtId="1" fontId="34" fillId="0" borderId="3" xfId="16" applyNumberFormat="1" applyFont="1" applyBorder="1" applyAlignment="1" applyProtection="1">
      <alignment horizontal="center" vertical="center"/>
      <protection/>
    </xf>
    <xf numFmtId="4" fontId="37" fillId="0" borderId="0" xfId="25" applyNumberFormat="1" applyFont="1" applyAlignment="1">
      <alignment vertical="center"/>
    </xf>
    <xf numFmtId="199" fontId="31" fillId="0" borderId="0" xfId="16" applyFont="1" applyBorder="1" applyAlignment="1">
      <alignment horizontal="center" vertical="center"/>
      <protection/>
    </xf>
    <xf numFmtId="1" fontId="34" fillId="0" borderId="0" xfId="16" applyNumberFormat="1" applyFont="1" applyBorder="1" applyAlignment="1" applyProtection="1">
      <alignment horizontal="center" vertical="center"/>
      <protection/>
    </xf>
    <xf numFmtId="199" fontId="31" fillId="0" borderId="1" xfId="16" applyFont="1" applyBorder="1" applyAlignment="1">
      <alignment horizontal="center" vertical="center"/>
      <protection/>
    </xf>
    <xf numFmtId="1" fontId="34" fillId="0" borderId="1" xfId="16" applyNumberFormat="1" applyFont="1" applyBorder="1" applyAlignment="1" applyProtection="1">
      <alignment horizontal="center" vertical="center"/>
      <protection/>
    </xf>
    <xf numFmtId="1" fontId="34" fillId="0" borderId="11" xfId="16" applyNumberFormat="1" applyFont="1" applyBorder="1" applyAlignment="1" applyProtection="1">
      <alignment horizontal="center" vertical="center"/>
      <protection/>
    </xf>
    <xf numFmtId="201" fontId="37" fillId="0" borderId="0" xfId="25" applyNumberFormat="1" applyFont="1" applyAlignment="1">
      <alignment vertical="center"/>
    </xf>
    <xf numFmtId="49" fontId="32" fillId="0" borderId="0" xfId="16" applyNumberFormat="1" applyFont="1" applyBorder="1" applyAlignment="1">
      <alignment vertical="center"/>
      <protection/>
    </xf>
    <xf numFmtId="10" fontId="31" fillId="0" borderId="0" xfId="20" applyNumberFormat="1" applyFont="1" applyAlignment="1">
      <alignment vertical="center"/>
    </xf>
    <xf numFmtId="199" fontId="33" fillId="0" borderId="0" xfId="16" applyFont="1" applyFill="1" applyBorder="1" applyAlignment="1">
      <alignment vertical="center"/>
      <protection/>
    </xf>
    <xf numFmtId="199" fontId="39" fillId="0" borderId="0" xfId="16" applyFont="1">
      <alignment/>
      <protection/>
    </xf>
    <xf numFmtId="199" fontId="31" fillId="0" borderId="0" xfId="16" applyFont="1" applyAlignment="1">
      <alignment horizontal="right" vertical="center"/>
      <protection/>
    </xf>
    <xf numFmtId="198" fontId="31" fillId="3" borderId="12" xfId="16" applyNumberFormat="1" applyFont="1" applyFill="1" applyBorder="1" applyAlignment="1">
      <alignment horizontal="center"/>
      <protection/>
    </xf>
    <xf numFmtId="198" fontId="31" fillId="3" borderId="13" xfId="16" applyNumberFormat="1" applyFont="1" applyFill="1" applyBorder="1" applyAlignment="1">
      <alignment horizontal="center"/>
      <protection/>
    </xf>
    <xf numFmtId="198" fontId="31" fillId="0" borderId="0" xfId="16" applyNumberFormat="1" applyFont="1" applyFill="1" applyBorder="1" applyAlignment="1">
      <alignment horizontal="center"/>
      <protection/>
    </xf>
    <xf numFmtId="199" fontId="41" fillId="0" borderId="0" xfId="16" applyFont="1">
      <alignment/>
      <protection/>
    </xf>
    <xf numFmtId="198" fontId="31" fillId="3" borderId="0" xfId="16" applyNumberFormat="1" applyFont="1" applyFill="1" applyBorder="1" applyAlignment="1">
      <alignment horizontal="center"/>
      <protection/>
    </xf>
    <xf numFmtId="198" fontId="31" fillId="3" borderId="14" xfId="16" applyNumberFormat="1" applyFont="1" applyFill="1" applyBorder="1" applyAlignment="1">
      <alignment horizontal="center"/>
      <protection/>
    </xf>
    <xf numFmtId="196" fontId="42" fillId="0" borderId="15" xfId="25" applyNumberFormat="1" applyFont="1" applyFill="1" applyBorder="1" applyAlignment="1" applyProtection="1">
      <alignment/>
      <protection locked="0"/>
    </xf>
    <xf numFmtId="198" fontId="34" fillId="0" borderId="0" xfId="16" applyNumberFormat="1" applyFont="1" applyFill="1" applyBorder="1" applyAlignment="1" applyProtection="1">
      <alignment/>
      <protection/>
    </xf>
    <xf numFmtId="198" fontId="34" fillId="0" borderId="0" xfId="16" applyNumberFormat="1" applyFont="1" applyFill="1" applyBorder="1" applyAlignment="1">
      <alignment/>
      <protection/>
    </xf>
    <xf numFmtId="198" fontId="34" fillId="0" borderId="0" xfId="16" applyNumberFormat="1" applyFont="1" applyFill="1" applyBorder="1" applyAlignment="1" applyProtection="1">
      <alignment/>
      <protection locked="0"/>
    </xf>
    <xf numFmtId="4" fontId="34" fillId="0" borderId="0" xfId="16" applyNumberFormat="1" applyFont="1" applyFill="1" applyBorder="1" applyAlignment="1">
      <alignment/>
      <protection/>
    </xf>
    <xf numFmtId="4" fontId="34" fillId="0" borderId="14" xfId="16" applyNumberFormat="1" applyFont="1" applyFill="1" applyBorder="1" applyAlignment="1">
      <alignment/>
      <protection/>
    </xf>
    <xf numFmtId="4" fontId="41" fillId="0" borderId="0" xfId="16" applyNumberFormat="1" applyFont="1">
      <alignment/>
      <protection/>
    </xf>
    <xf numFmtId="198" fontId="34" fillId="0" borderId="0" xfId="16" applyNumberFormat="1" applyFont="1" applyFill="1" applyBorder="1" applyAlignment="1" applyProtection="1">
      <alignment horizontal="center"/>
      <protection locked="0"/>
    </xf>
    <xf numFmtId="200" fontId="34" fillId="0" borderId="0" xfId="16" applyNumberFormat="1" applyFont="1" applyFill="1" applyBorder="1" applyAlignment="1" applyProtection="1">
      <alignment/>
      <protection locked="0"/>
    </xf>
    <xf numFmtId="4" fontId="31" fillId="0" borderId="0" xfId="16" applyNumberFormat="1" applyFont="1" applyFill="1" applyBorder="1" applyAlignment="1">
      <alignment/>
      <protection/>
    </xf>
    <xf numFmtId="4" fontId="31" fillId="0" borderId="14" xfId="16" applyNumberFormat="1" applyFont="1" applyFill="1" applyBorder="1" applyAlignment="1">
      <alignment/>
      <protection/>
    </xf>
    <xf numFmtId="4" fontId="41" fillId="0" borderId="0" xfId="16" applyNumberFormat="1" applyFont="1" applyBorder="1">
      <alignment/>
      <protection/>
    </xf>
    <xf numFmtId="199" fontId="41" fillId="0" borderId="0" xfId="16" applyFont="1" applyBorder="1">
      <alignment/>
      <protection/>
    </xf>
    <xf numFmtId="3" fontId="31" fillId="3" borderId="16" xfId="25" applyNumberFormat="1" applyFont="1" applyFill="1" applyBorder="1" applyAlignment="1">
      <alignment horizontal="right"/>
    </xf>
    <xf numFmtId="3" fontId="31" fillId="3" borderId="17" xfId="25" applyNumberFormat="1" applyFont="1" applyFill="1" applyBorder="1" applyAlignment="1">
      <alignment/>
    </xf>
    <xf numFmtId="4" fontId="31" fillId="3" borderId="17" xfId="25" applyNumberFormat="1" applyFont="1" applyFill="1" applyBorder="1" applyAlignment="1">
      <alignment/>
    </xf>
    <xf numFmtId="199" fontId="34" fillId="0" borderId="0" xfId="16" applyFont="1" applyFill="1">
      <alignment/>
      <protection/>
    </xf>
    <xf numFmtId="4" fontId="34" fillId="0" borderId="0" xfId="16" applyNumberFormat="1" applyFont="1" applyFill="1">
      <alignment/>
      <protection/>
    </xf>
    <xf numFmtId="199" fontId="31" fillId="0" borderId="18" xfId="16" applyFont="1" applyBorder="1">
      <alignment/>
      <protection/>
    </xf>
    <xf numFmtId="4" fontId="31" fillId="0" borderId="0" xfId="16" applyNumberFormat="1" applyFont="1" applyFill="1" applyBorder="1">
      <alignment/>
      <protection/>
    </xf>
    <xf numFmtId="199" fontId="26" fillId="0" borderId="0" xfId="16" applyFill="1">
      <alignment/>
      <protection/>
    </xf>
    <xf numFmtId="4" fontId="26" fillId="0" borderId="0" xfId="16" applyNumberFormat="1" applyFill="1">
      <alignment/>
      <protection/>
    </xf>
    <xf numFmtId="4" fontId="26" fillId="0" borderId="0" xfId="16" applyNumberFormat="1">
      <alignment/>
      <protection/>
    </xf>
    <xf numFmtId="4" fontId="23" fillId="0" borderId="0" xfId="16" applyNumberFormat="1" applyFont="1">
      <alignment/>
      <protection/>
    </xf>
    <xf numFmtId="199" fontId="23" fillId="0" borderId="0" xfId="16" applyFont="1">
      <alignment/>
      <protection/>
    </xf>
    <xf numFmtId="4" fontId="31" fillId="0" borderId="0" xfId="16" applyNumberFormat="1" applyFont="1" applyFill="1">
      <alignment/>
      <protection/>
    </xf>
    <xf numFmtId="4" fontId="26" fillId="0" borderId="0" xfId="16" applyNumberFormat="1" applyFill="1" applyBorder="1" applyAlignment="1">
      <alignment/>
      <protection/>
    </xf>
    <xf numFmtId="3" fontId="0" fillId="0" borderId="6" xfId="0" applyNumberFormat="1" applyBorder="1" applyAlignment="1">
      <alignment/>
    </xf>
    <xf numFmtId="172" fontId="0" fillId="0" borderId="6" xfId="23" applyBorder="1" applyAlignment="1">
      <alignment/>
    </xf>
    <xf numFmtId="194" fontId="0" fillId="0" borderId="6" xfId="0" applyNumberFormat="1" applyBorder="1" applyAlignment="1">
      <alignment horizontal="right"/>
    </xf>
    <xf numFmtId="168" fontId="11" fillId="0" borderId="0" xfId="26" applyFont="1" applyAlignment="1">
      <alignment/>
    </xf>
    <xf numFmtId="168" fontId="10" fillId="0" borderId="0" xfId="26" applyFont="1" applyAlignment="1">
      <alignment/>
    </xf>
    <xf numFmtId="0" fontId="10" fillId="0" borderId="0" xfId="17" applyFont="1">
      <alignment/>
      <protection/>
    </xf>
    <xf numFmtId="14" fontId="11" fillId="0" borderId="0" xfId="26" applyNumberFormat="1" applyFont="1" applyAlignment="1">
      <alignment horizontal="center"/>
    </xf>
    <xf numFmtId="168" fontId="14" fillId="0" borderId="0" xfId="26" applyFont="1" applyAlignment="1">
      <alignment horizontal="right"/>
    </xf>
    <xf numFmtId="168" fontId="14" fillId="0" borderId="0" xfId="26" applyFont="1" applyAlignment="1">
      <alignment/>
    </xf>
    <xf numFmtId="0" fontId="23" fillId="0" borderId="0" xfId="17" applyFont="1" applyAlignment="1">
      <alignment horizontal="center"/>
      <protection/>
    </xf>
    <xf numFmtId="175" fontId="6" fillId="0" borderId="0" xfId="23" applyNumberFormat="1" applyFont="1" applyBorder="1" applyAlignment="1">
      <alignment horizontal="left"/>
    </xf>
    <xf numFmtId="4" fontId="4" fillId="0" borderId="0" xfId="0" applyNumberFormat="1" applyFont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0" fillId="0" borderId="6" xfId="0" applyBorder="1" applyAlignment="1">
      <alignment wrapText="1"/>
    </xf>
    <xf numFmtId="4" fontId="5" fillId="0" borderId="8" xfId="23" applyNumberFormat="1" applyFont="1" applyBorder="1" applyAlignment="1">
      <alignment horizontal="right"/>
    </xf>
    <xf numFmtId="4" fontId="5" fillId="0" borderId="7" xfId="23" applyNumberFormat="1" applyFont="1" applyBorder="1" applyAlignment="1">
      <alignment horizontal="right"/>
    </xf>
    <xf numFmtId="4" fontId="5" fillId="0" borderId="19" xfId="23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0" fontId="5" fillId="0" borderId="0" xfId="20" applyNumberFormat="1" applyFont="1" applyAlignment="1">
      <alignment horizontal="left"/>
    </xf>
    <xf numFmtId="4" fontId="6" fillId="0" borderId="0" xfId="0" applyNumberFormat="1" applyFont="1" applyAlignment="1">
      <alignment/>
    </xf>
    <xf numFmtId="0" fontId="0" fillId="0" borderId="6" xfId="0" applyBorder="1" applyAlignment="1">
      <alignment/>
    </xf>
    <xf numFmtId="191" fontId="10" fillId="2" borderId="0" xfId="18" applyNumberFormat="1" applyFont="1" applyFill="1">
      <alignment/>
      <protection/>
    </xf>
    <xf numFmtId="199" fontId="31" fillId="0" borderId="0" xfId="16" applyFont="1" applyFill="1" applyBorder="1" applyAlignment="1">
      <alignment/>
      <protection/>
    </xf>
    <xf numFmtId="198" fontId="31" fillId="3" borderId="20" xfId="16" applyNumberFormat="1" applyFont="1" applyFill="1" applyBorder="1" applyAlignment="1">
      <alignment horizontal="center" vertical="center"/>
      <protection/>
    </xf>
    <xf numFmtId="199" fontId="34" fillId="3" borderId="15" xfId="16" applyFont="1" applyFill="1" applyBorder="1" applyAlignment="1">
      <alignment horizontal="center" vertical="center"/>
      <protection/>
    </xf>
    <xf numFmtId="199" fontId="43" fillId="0" borderId="12" xfId="16" applyFont="1" applyFill="1" applyBorder="1" applyAlignment="1">
      <alignment/>
      <protection/>
    </xf>
  </cellXfs>
  <cellStyles count="14">
    <cellStyle name="Normal" xfId="0"/>
    <cellStyle name="Hyperlink" xfId="15"/>
    <cellStyle name="Navadno_am nač -10let" xfId="16"/>
    <cellStyle name="Navadno_kvota za zadolžitev 2008" xfId="17"/>
    <cellStyle name="Navadno_leasing telovadnica" xfId="18"/>
    <cellStyle name="Followed Hyperlink" xfId="19"/>
    <cellStyle name="Percent" xfId="20"/>
    <cellStyle name="Currency" xfId="21"/>
    <cellStyle name="Currency [0]" xfId="22"/>
    <cellStyle name="Comma" xfId="23"/>
    <cellStyle name="Comma [0]" xfId="24"/>
    <cellStyle name="Vejica_am nač -10let" xfId="25"/>
    <cellStyle name="Vejica_kvota za zadolžitev 2008" xfId="26"/>
    <cellStyle name="Vejica_leasing telovadnic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108</xdr:row>
      <xdr:rowOff>190500</xdr:rowOff>
    </xdr:from>
    <xdr:to>
      <xdr:col>5</xdr:col>
      <xdr:colOff>428625</xdr:colOff>
      <xdr:row>108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124450" y="19411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257175</xdr:rowOff>
    </xdr:from>
    <xdr:to>
      <xdr:col>5</xdr:col>
      <xdr:colOff>419100</xdr:colOff>
      <xdr:row>109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114925" y="19840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24</xdr:row>
      <xdr:rowOff>57150</xdr:rowOff>
    </xdr:from>
    <xdr:to>
      <xdr:col>5</xdr:col>
      <xdr:colOff>628650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105150" y="4076700"/>
          <a:ext cx="1685925" cy="4000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letna obrestna mera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letna obrestna mera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54.8515625" style="190" bestFit="1" customWidth="1"/>
    <col min="2" max="3" width="20.421875" style="190" bestFit="1" customWidth="1"/>
    <col min="4" max="4" width="18.57421875" style="190" bestFit="1" customWidth="1"/>
    <col min="5" max="5" width="18.57421875" style="190" customWidth="1"/>
    <col min="6" max="12" width="18.57421875" style="190" bestFit="1" customWidth="1"/>
    <col min="13" max="15" width="11.7109375" style="190" bestFit="1" customWidth="1"/>
    <col min="16" max="16384" width="9.140625" style="190" customWidth="1"/>
  </cols>
  <sheetData>
    <row r="1" spans="1:2" ht="18">
      <c r="A1" s="339" t="s">
        <v>408</v>
      </c>
      <c r="B1" s="339"/>
    </row>
    <row r="2" spans="1:6" ht="27.75" customHeight="1">
      <c r="A2" s="189"/>
      <c r="B2" s="209"/>
      <c r="C2" s="209" t="s">
        <v>320</v>
      </c>
      <c r="D2" s="209" t="s">
        <v>343</v>
      </c>
      <c r="E2" s="209" t="s">
        <v>355</v>
      </c>
      <c r="F2" s="209" t="s">
        <v>405</v>
      </c>
    </row>
    <row r="3" spans="2:6" ht="15">
      <c r="B3" s="191"/>
      <c r="C3" s="227" t="s">
        <v>301</v>
      </c>
      <c r="D3" s="227" t="s">
        <v>301</v>
      </c>
      <c r="E3" s="227" t="s">
        <v>301</v>
      </c>
      <c r="F3" s="227" t="s">
        <v>301</v>
      </c>
    </row>
    <row r="4" spans="1:6" ht="15">
      <c r="A4" s="192" t="s">
        <v>339</v>
      </c>
      <c r="B4" s="193"/>
      <c r="C4" s="193">
        <v>5068351.48</v>
      </c>
      <c r="D4" s="220">
        <v>5244618.96</v>
      </c>
      <c r="E4" s="228">
        <v>6070727</v>
      </c>
      <c r="F4" s="228">
        <v>7286660</v>
      </c>
    </row>
    <row r="5" spans="1:6" ht="15">
      <c r="A5" s="192" t="s">
        <v>302</v>
      </c>
      <c r="B5" s="193"/>
      <c r="C5" s="193">
        <v>-2149.15</v>
      </c>
      <c r="D5" s="224">
        <v>-47146</v>
      </c>
      <c r="E5" s="228">
        <v>-8769</v>
      </c>
      <c r="F5" s="228">
        <v>-13372</v>
      </c>
    </row>
    <row r="6" spans="1:6" ht="15">
      <c r="A6" s="192" t="s">
        <v>303</v>
      </c>
      <c r="B6" s="193"/>
      <c r="C6" s="193">
        <f>-168738.47-351696</f>
        <v>-520434.47</v>
      </c>
      <c r="D6" s="224">
        <f>-22822.86-363913.51-194811.75</f>
        <v>-581548.12</v>
      </c>
      <c r="E6" s="210">
        <v>-927674</v>
      </c>
      <c r="F6" s="210">
        <v>-1242472</v>
      </c>
    </row>
    <row r="7" spans="1:6" ht="15">
      <c r="A7" s="192" t="s">
        <v>406</v>
      </c>
      <c r="B7" s="193"/>
      <c r="C7" s="193"/>
      <c r="D7" s="224"/>
      <c r="E7" s="210"/>
      <c r="F7" s="210">
        <v>-8139</v>
      </c>
    </row>
    <row r="8" spans="1:6" ht="15.75">
      <c r="A8" s="194" t="s">
        <v>338</v>
      </c>
      <c r="B8" s="195"/>
      <c r="C8" s="333">
        <f>SUM(C4:C6)</f>
        <v>4545767.86</v>
      </c>
      <c r="D8" s="225">
        <f>D4+D5+D6</f>
        <v>4615924.84</v>
      </c>
      <c r="E8" s="213">
        <f>E4+E5+E6</f>
        <v>5134284</v>
      </c>
      <c r="F8" s="213">
        <f>F4+F5+F6+F7</f>
        <v>6022677</v>
      </c>
    </row>
    <row r="9" spans="1:6" ht="31.5">
      <c r="A9" s="216" t="s">
        <v>341</v>
      </c>
      <c r="B9" s="195"/>
      <c r="C9" s="333">
        <f>+C8*0.08</f>
        <v>363661.42880000005</v>
      </c>
      <c r="D9" s="213">
        <v>369273.99</v>
      </c>
      <c r="E9" s="213">
        <f>E8*8/100</f>
        <v>410742.72</v>
      </c>
      <c r="F9" s="213">
        <f>F8*8/100</f>
        <v>481814.16</v>
      </c>
    </row>
    <row r="10" spans="3:4" ht="24" customHeight="1">
      <c r="C10" s="334"/>
      <c r="D10" s="335"/>
    </row>
    <row r="11" spans="1:6" ht="15.75">
      <c r="A11" s="194" t="s">
        <v>335</v>
      </c>
      <c r="B11" s="206"/>
      <c r="C11" s="336">
        <v>39813</v>
      </c>
      <c r="D11" s="226">
        <v>40178</v>
      </c>
      <c r="E11" s="226">
        <v>40543</v>
      </c>
      <c r="F11" s="226">
        <v>40908</v>
      </c>
    </row>
    <row r="12" spans="1:6" ht="15">
      <c r="A12" s="192" t="s">
        <v>336</v>
      </c>
      <c r="B12" s="193"/>
      <c r="C12" s="334">
        <v>38896.14</v>
      </c>
      <c r="D12" s="210">
        <v>28965.3</v>
      </c>
      <c r="E12" s="210">
        <v>19034.46</v>
      </c>
      <c r="F12" s="210">
        <v>9103.62</v>
      </c>
    </row>
    <row r="13" spans="1:6" ht="15">
      <c r="A13" s="192" t="s">
        <v>304</v>
      </c>
      <c r="B13" s="193"/>
      <c r="C13" s="334">
        <v>25964.88</v>
      </c>
      <c r="D13" s="190">
        <v>0</v>
      </c>
      <c r="E13" s="210">
        <v>0</v>
      </c>
      <c r="F13" s="210">
        <v>0</v>
      </c>
    </row>
    <row r="14" spans="1:6" ht="15">
      <c r="A14" s="192" t="s">
        <v>357</v>
      </c>
      <c r="B14" s="193"/>
      <c r="C14" s="334">
        <v>112500</v>
      </c>
      <c r="D14" s="210">
        <v>82500</v>
      </c>
      <c r="E14" s="210">
        <v>52500</v>
      </c>
      <c r="F14" s="210">
        <v>22500</v>
      </c>
    </row>
    <row r="15" spans="1:6" ht="15">
      <c r="A15" s="192" t="s">
        <v>305</v>
      </c>
      <c r="B15" s="193"/>
      <c r="C15" s="334">
        <v>197719.29</v>
      </c>
      <c r="D15" s="210">
        <v>95776.78</v>
      </c>
      <c r="E15" s="210">
        <v>0</v>
      </c>
      <c r="F15" s="210">
        <v>0</v>
      </c>
    </row>
    <row r="16" spans="1:6" ht="15">
      <c r="A16" s="192" t="s">
        <v>337</v>
      </c>
      <c r="B16" s="193"/>
      <c r="C16" s="334">
        <v>150000</v>
      </c>
      <c r="D16" s="210">
        <v>141250</v>
      </c>
      <c r="E16" s="210">
        <v>126250</v>
      </c>
      <c r="F16" s="210">
        <v>111250</v>
      </c>
    </row>
    <row r="17" spans="1:6" ht="15">
      <c r="A17" s="192" t="s">
        <v>347</v>
      </c>
      <c r="B17" s="193"/>
      <c r="C17" s="334"/>
      <c r="D17" s="210">
        <v>229169.45</v>
      </c>
      <c r="E17" s="210">
        <v>179177.45</v>
      </c>
      <c r="F17" s="210">
        <v>129185.45</v>
      </c>
    </row>
    <row r="18" spans="1:6" ht="66" customHeight="1">
      <c r="A18" s="229" t="s">
        <v>358</v>
      </c>
      <c r="B18" s="193"/>
      <c r="C18" s="193"/>
      <c r="D18" s="210"/>
      <c r="E18" s="210">
        <v>260000</v>
      </c>
      <c r="F18" s="210">
        <v>236166.74</v>
      </c>
    </row>
    <row r="19" spans="1:6" ht="27.75" customHeight="1">
      <c r="A19" s="229" t="s">
        <v>411</v>
      </c>
      <c r="B19" s="193"/>
      <c r="C19" s="193"/>
      <c r="D19" s="210"/>
      <c r="E19" s="210"/>
      <c r="F19" s="210">
        <v>219335</v>
      </c>
    </row>
    <row r="20" spans="1:6" ht="42.75" customHeight="1">
      <c r="A20" s="229" t="s">
        <v>412</v>
      </c>
      <c r="B20" s="193"/>
      <c r="C20" s="193"/>
      <c r="D20" s="210"/>
      <c r="E20" s="210"/>
      <c r="F20" s="210">
        <v>58314</v>
      </c>
    </row>
    <row r="21" spans="1:6" ht="32.25" customHeight="1">
      <c r="A21" s="229" t="s">
        <v>413</v>
      </c>
      <c r="B21" s="193"/>
      <c r="C21" s="193"/>
      <c r="D21" s="210"/>
      <c r="E21" s="210"/>
      <c r="F21" s="210">
        <v>21684</v>
      </c>
    </row>
    <row r="22" spans="1:6" ht="35.25" customHeight="1">
      <c r="A22" s="229" t="s">
        <v>414</v>
      </c>
      <c r="B22" s="193"/>
      <c r="C22" s="193"/>
      <c r="D22" s="210"/>
      <c r="E22" s="210"/>
      <c r="F22" s="210">
        <v>60666</v>
      </c>
    </row>
    <row r="23" spans="1:6" ht="22.5" customHeight="1">
      <c r="A23" s="196" t="s">
        <v>306</v>
      </c>
      <c r="B23" s="195">
        <f>SUM(B12:B15)</f>
        <v>0</v>
      </c>
      <c r="C23" s="195">
        <f>SUM(C12:C16)</f>
        <v>525080.31</v>
      </c>
      <c r="D23" s="213">
        <f>SUM(D12:D17)</f>
        <v>577661.53</v>
      </c>
      <c r="E23" s="213">
        <f>SUM(E12:E18)</f>
        <v>636961.91</v>
      </c>
      <c r="F23" s="213">
        <f>SUM(F12:F22)</f>
        <v>868204.81</v>
      </c>
    </row>
    <row r="24" spans="1:2" ht="15.75">
      <c r="A24" s="196"/>
      <c r="B24" s="209"/>
    </row>
    <row r="25" spans="1:6" ht="26.25">
      <c r="A25" s="217" t="s">
        <v>340</v>
      </c>
      <c r="B25" s="211"/>
      <c r="C25" s="211" t="s">
        <v>321</v>
      </c>
      <c r="D25" s="211" t="s">
        <v>322</v>
      </c>
      <c r="E25" s="211" t="s">
        <v>323</v>
      </c>
      <c r="F25" s="211" t="s">
        <v>324</v>
      </c>
    </row>
    <row r="26" spans="1:19" ht="15">
      <c r="A26" s="218" t="s">
        <v>333</v>
      </c>
      <c r="B26" s="214"/>
      <c r="C26" s="214">
        <f>+'JAVNI SKLAD-BANKA KOPER'!G39</f>
        <v>16798.845616438357</v>
      </c>
      <c r="D26" s="214">
        <f>+'JAVNI SKLAD-BANKA KOPER'!G51</f>
        <v>16884.664109589045</v>
      </c>
      <c r="E26" s="214">
        <f>+'JAVNI SKLAD-BANKA KOPER'!G63</f>
        <v>16762.202191780823</v>
      </c>
      <c r="F26" s="214">
        <f>+'JAVNI SKLAD-BANKA KOPER'!G75</f>
        <v>16504.52712328767</v>
      </c>
      <c r="P26" s="210"/>
      <c r="Q26" s="210"/>
      <c r="R26" s="210"/>
      <c r="S26" s="210"/>
    </row>
    <row r="27" spans="1:19" ht="15">
      <c r="A27" s="218" t="s">
        <v>334</v>
      </c>
      <c r="B27" s="214"/>
      <c r="C27" s="214">
        <f>+'BANKA KOPER -JSR-69,5'!E71</f>
        <v>10209.944569708729</v>
      </c>
      <c r="D27" s="214">
        <f>+'BANKA KOPER -JSR-69,5'!E83</f>
        <v>10192.308948715732</v>
      </c>
      <c r="E27" s="214">
        <f>+'BANKA KOPER -JSR-69,5'!E94</f>
        <v>9189.987477867593</v>
      </c>
      <c r="F27" s="214"/>
      <c r="P27" s="210"/>
      <c r="Q27" s="210"/>
      <c r="R27" s="210"/>
      <c r="S27" s="210"/>
    </row>
    <row r="28" spans="1:19" ht="15">
      <c r="A28" s="218" t="s">
        <v>332</v>
      </c>
      <c r="B28" s="214"/>
      <c r="C28" s="214"/>
      <c r="D28" s="214"/>
      <c r="E28" s="214"/>
      <c r="F28" s="214"/>
      <c r="P28" s="210"/>
      <c r="Q28" s="210"/>
      <c r="R28" s="210"/>
      <c r="S28" s="210"/>
    </row>
    <row r="29" spans="1:19" ht="15">
      <c r="A29" s="218" t="s">
        <v>331</v>
      </c>
      <c r="B29" s="214"/>
      <c r="C29" s="214">
        <f>+'DEŽELNA BANKA d.d.'!G47</f>
        <v>31029.452083333337</v>
      </c>
      <c r="D29" s="214">
        <f>+'DEŽELNA BANKA d.d.'!G59</f>
        <v>30805.73944444444</v>
      </c>
      <c r="E29" s="214">
        <f>+'DEŽELNA BANKA d.d.'!G68</f>
        <v>22710.519999999997</v>
      </c>
      <c r="F29" s="214"/>
      <c r="P29" s="210"/>
      <c r="Q29" s="210"/>
      <c r="R29" s="210"/>
      <c r="S29" s="210"/>
    </row>
    <row r="30" spans="1:19" ht="15">
      <c r="A30" s="218" t="s">
        <v>307</v>
      </c>
      <c r="B30" s="214"/>
      <c r="C30" s="214">
        <f>+'RAP Raiffeisen Leasing '!E185</f>
        <v>98320.30999999997</v>
      </c>
      <c r="D30" s="214"/>
      <c r="E30" s="214"/>
      <c r="F30" s="214"/>
      <c r="P30" s="210"/>
      <c r="Q30" s="210"/>
      <c r="R30" s="210"/>
      <c r="S30" s="210"/>
    </row>
    <row r="31" spans="1:19" ht="15">
      <c r="A31" s="218" t="s">
        <v>346</v>
      </c>
      <c r="B31" s="214"/>
      <c r="C31" s="214">
        <f>+'DEŽELNA BANKA 2009'!G26</f>
        <v>59176.62916666667</v>
      </c>
      <c r="D31" s="214">
        <f>+'DEŽELNA BANKA 2009'!G38</f>
        <v>57881.64907407409</v>
      </c>
      <c r="E31" s="214">
        <f>+'DEŽELNA BANKA 2009'!G50</f>
        <v>55410.3925925926</v>
      </c>
      <c r="F31" s="214">
        <f>+'DEŽELNA BANKA 2009'!G62</f>
        <v>52748.662962962975</v>
      </c>
      <c r="P31" s="210"/>
      <c r="Q31" s="210"/>
      <c r="R31" s="210"/>
      <c r="S31" s="210"/>
    </row>
    <row r="32" spans="1:19" ht="15">
      <c r="A32" s="218" t="s">
        <v>359</v>
      </c>
      <c r="B32" s="214"/>
      <c r="C32" s="214">
        <v>0</v>
      </c>
      <c r="D32" s="214">
        <f>+'Banka Koper 2010'!H38</f>
        <v>32750.358867579907</v>
      </c>
      <c r="E32" s="214">
        <f>+'Banka Koper 2010'!H50</f>
        <v>33906.44043835616</v>
      </c>
      <c r="F32" s="214">
        <f>+'Banka Koper 2010'!H62</f>
        <v>32968.476968335955</v>
      </c>
      <c r="P32" s="210"/>
      <c r="Q32" s="210"/>
      <c r="R32" s="210"/>
      <c r="S32" s="210"/>
    </row>
    <row r="33" spans="1:19" ht="15">
      <c r="A33" s="218" t="s">
        <v>410</v>
      </c>
      <c r="B33" s="214"/>
      <c r="C33" s="214"/>
      <c r="D33" s="214">
        <v>362.12</v>
      </c>
      <c r="E33" s="214">
        <f>3978.74+1827.8</f>
        <v>5806.54</v>
      </c>
      <c r="F33" s="214">
        <v>25685.32</v>
      </c>
      <c r="P33" s="210"/>
      <c r="Q33" s="210"/>
      <c r="R33" s="210"/>
      <c r="S33" s="210"/>
    </row>
    <row r="34" spans="1:19" ht="15">
      <c r="A34" s="218" t="s">
        <v>410</v>
      </c>
      <c r="B34" s="214"/>
      <c r="C34" s="214"/>
      <c r="D34" s="214">
        <v>85.86</v>
      </c>
      <c r="E34" s="214">
        <f>1057.74+722.22</f>
        <v>1779.96</v>
      </c>
      <c r="F34" s="214">
        <v>9306.54</v>
      </c>
      <c r="P34" s="210"/>
      <c r="Q34" s="210"/>
      <c r="R34" s="210"/>
      <c r="S34" s="210"/>
    </row>
    <row r="35" spans="1:19" ht="15">
      <c r="A35" s="218" t="s">
        <v>410</v>
      </c>
      <c r="B35" s="214"/>
      <c r="C35" s="214"/>
      <c r="D35" s="214">
        <v>32.24</v>
      </c>
      <c r="E35" s="214">
        <f>393.34+361.4</f>
        <v>754.74</v>
      </c>
      <c r="F35" s="214">
        <v>4686.45</v>
      </c>
      <c r="P35" s="210"/>
      <c r="Q35" s="210"/>
      <c r="R35" s="210"/>
      <c r="S35" s="210"/>
    </row>
    <row r="36" spans="1:19" ht="15">
      <c r="A36" s="218" t="s">
        <v>410</v>
      </c>
      <c r="B36" s="214"/>
      <c r="C36" s="214"/>
      <c r="D36" s="214">
        <v>90.2</v>
      </c>
      <c r="E36" s="214">
        <v>1822.67</v>
      </c>
      <c r="F36" s="214">
        <v>9678.8</v>
      </c>
      <c r="P36" s="210"/>
      <c r="Q36" s="210"/>
      <c r="R36" s="210"/>
      <c r="S36" s="210"/>
    </row>
    <row r="37" spans="1:19" s="212" customFormat="1" ht="24" customHeight="1">
      <c r="A37" s="219" t="s">
        <v>356</v>
      </c>
      <c r="B37" s="215"/>
      <c r="C37" s="215">
        <f>SUM(C26:C32)</f>
        <v>215535.18143614708</v>
      </c>
      <c r="D37" s="215">
        <f>SUM(D26:D36)</f>
        <v>149085.1404444032</v>
      </c>
      <c r="E37" s="215">
        <f>SUM(E26:E36)</f>
        <v>148143.45270059718</v>
      </c>
      <c r="F37" s="215">
        <f>SUM(F26:F36)</f>
        <v>151578.77705458662</v>
      </c>
      <c r="P37" s="213"/>
      <c r="Q37" s="213"/>
      <c r="R37" s="213"/>
      <c r="S37" s="213"/>
    </row>
    <row r="38" spans="2:19" ht="15.75">
      <c r="B38" s="195"/>
      <c r="C38" s="195"/>
      <c r="D38" s="207"/>
      <c r="E38" s="210"/>
      <c r="F38" s="210"/>
      <c r="M38" s="210"/>
      <c r="N38" s="210"/>
      <c r="O38" s="210"/>
      <c r="P38" s="210"/>
      <c r="Q38" s="210"/>
      <c r="R38" s="210"/>
      <c r="S38" s="210"/>
    </row>
    <row r="39" spans="4:19" ht="12.75">
      <c r="D39" s="208"/>
      <c r="E39" s="210"/>
      <c r="F39" s="210"/>
      <c r="M39" s="210"/>
      <c r="N39" s="210"/>
      <c r="O39" s="210"/>
      <c r="P39" s="210"/>
      <c r="Q39" s="210"/>
      <c r="R39" s="210"/>
      <c r="S39" s="210"/>
    </row>
    <row r="40" spans="1:19" ht="31.5">
      <c r="A40" s="223" t="s">
        <v>342</v>
      </c>
      <c r="B40" s="195"/>
      <c r="C40" s="338">
        <f>+$D$37-D9</f>
        <v>-220188.8495555968</v>
      </c>
      <c r="D40" s="338">
        <f>+$E$9-D37</f>
        <v>261657.57955559678</v>
      </c>
      <c r="E40" s="338">
        <f>+$F$9-E37</f>
        <v>333670.7072994028</v>
      </c>
      <c r="F40" s="337">
        <f>+$F$9-F37</f>
        <v>330235.38294541335</v>
      </c>
      <c r="M40" s="210"/>
      <c r="N40" s="210"/>
      <c r="O40" s="210"/>
      <c r="P40" s="210"/>
      <c r="Q40" s="210"/>
      <c r="R40" s="210"/>
      <c r="S40" s="210"/>
    </row>
    <row r="41" spans="5:19" ht="12.75"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</row>
    <row r="42" spans="2:10" ht="25.5">
      <c r="B42" s="211" t="s">
        <v>325</v>
      </c>
      <c r="C42" s="211" t="s">
        <v>326</v>
      </c>
      <c r="D42" s="211" t="s">
        <v>327</v>
      </c>
      <c r="E42" s="211" t="s">
        <v>328</v>
      </c>
      <c r="F42" s="211" t="s">
        <v>329</v>
      </c>
      <c r="G42" s="211" t="s">
        <v>330</v>
      </c>
      <c r="H42" s="211" t="s">
        <v>400</v>
      </c>
      <c r="I42" s="211" t="s">
        <v>401</v>
      </c>
      <c r="J42" s="211" t="s">
        <v>409</v>
      </c>
    </row>
    <row r="43" spans="1:7" ht="15">
      <c r="A43" s="218" t="s">
        <v>333</v>
      </c>
      <c r="B43" s="214">
        <f>+'JAVNI SKLAD-BANKA KOPER'!G87</f>
        <v>16251.92712328767</v>
      </c>
      <c r="C43" s="214">
        <f>+'JAVNI SKLAD-BANKA KOPER'!G99</f>
        <v>15999.327123287672</v>
      </c>
      <c r="D43" s="214">
        <f>+'JAVNI SKLAD-BANKA KOPER'!G111</f>
        <v>15749.033972602741</v>
      </c>
      <c r="E43" s="214">
        <f>+'JAVNI SKLAD-BANKA KOPER'!G123</f>
        <v>15494.127123287672</v>
      </c>
      <c r="F43" s="214">
        <f>+'JAVNI SKLAD-BANKA KOPER'!G135</f>
        <v>15243.026575342466</v>
      </c>
      <c r="G43" s="214">
        <f>+'JAVNI SKLAD-BANKA KOPER'!G140</f>
        <v>6280.5657534246575</v>
      </c>
    </row>
    <row r="44" spans="1:7" ht="15">
      <c r="A44" s="218" t="s">
        <v>346</v>
      </c>
      <c r="B44" s="214">
        <v>25381.54</v>
      </c>
      <c r="C44" s="214"/>
      <c r="D44" s="214"/>
      <c r="E44" s="214"/>
      <c r="F44" s="214"/>
      <c r="G44" s="214"/>
    </row>
    <row r="45" spans="1:9" ht="15">
      <c r="A45" s="218" t="s">
        <v>359</v>
      </c>
      <c r="B45" s="214">
        <v>32040.51</v>
      </c>
      <c r="C45" s="214">
        <v>31141.63</v>
      </c>
      <c r="D45" s="214">
        <v>30226.01</v>
      </c>
      <c r="E45" s="214">
        <v>29311.85</v>
      </c>
      <c r="F45" s="214">
        <v>28397.69</v>
      </c>
      <c r="G45" s="214">
        <v>27483.53</v>
      </c>
      <c r="H45" s="214">
        <v>26569.37</v>
      </c>
      <c r="I45" s="214">
        <v>2173</v>
      </c>
    </row>
    <row r="46" spans="1:10" ht="15">
      <c r="A46" s="218" t="s">
        <v>410</v>
      </c>
      <c r="B46" s="214">
        <v>25280.89</v>
      </c>
      <c r="C46" s="214">
        <v>24892.57</v>
      </c>
      <c r="D46" s="214">
        <v>24495.16</v>
      </c>
      <c r="E46" s="214">
        <v>24098.38</v>
      </c>
      <c r="F46" s="214">
        <v>23706.04</v>
      </c>
      <c r="G46" s="214">
        <v>23332</v>
      </c>
      <c r="H46" s="210">
        <v>22927.62</v>
      </c>
      <c r="I46" s="210">
        <v>22523.23</v>
      </c>
      <c r="J46" s="210">
        <v>20291.05</v>
      </c>
    </row>
    <row r="47" spans="1:7" ht="15">
      <c r="A47" s="218" t="s">
        <v>410</v>
      </c>
      <c r="B47" s="214">
        <v>9152.89</v>
      </c>
      <c r="C47" s="214">
        <v>9000</v>
      </c>
      <c r="D47" s="214">
        <v>8851.66</v>
      </c>
      <c r="E47" s="214">
        <v>8700.72</v>
      </c>
      <c r="F47" s="214">
        <v>8550.02</v>
      </c>
      <c r="G47" s="214">
        <v>7705.14</v>
      </c>
    </row>
    <row r="48" spans="1:7" ht="15">
      <c r="A48" s="218" t="s">
        <v>410</v>
      </c>
      <c r="B48" s="214">
        <v>4607.38</v>
      </c>
      <c r="C48" s="214">
        <v>4529.62</v>
      </c>
      <c r="D48" s="214">
        <v>4451.04</v>
      </c>
      <c r="E48" s="214">
        <v>4011.19</v>
      </c>
      <c r="F48" s="214"/>
      <c r="G48" s="214"/>
    </row>
    <row r="49" spans="1:9" ht="15">
      <c r="A49" s="218" t="s">
        <v>410</v>
      </c>
      <c r="B49" s="214">
        <v>9520.07</v>
      </c>
      <c r="C49" s="214">
        <v>9365.45</v>
      </c>
      <c r="D49" s="214">
        <v>9208.42</v>
      </c>
      <c r="E49" s="214">
        <v>9050.79</v>
      </c>
      <c r="F49" s="214">
        <v>8892.07</v>
      </c>
      <c r="G49" s="214">
        <v>8015.23</v>
      </c>
      <c r="H49" s="214"/>
      <c r="I49" s="214"/>
    </row>
    <row r="50" spans="2:9" ht="14.25">
      <c r="B50" s="214"/>
      <c r="C50" s="214"/>
      <c r="D50" s="214"/>
      <c r="E50" s="214"/>
      <c r="F50" s="214"/>
      <c r="G50" s="214"/>
      <c r="H50" s="214"/>
      <c r="I50" s="214" t="s">
        <v>407</v>
      </c>
    </row>
    <row r="51" spans="1:9" ht="15.75">
      <c r="A51" s="219" t="s">
        <v>356</v>
      </c>
      <c r="B51" s="215">
        <f aca="true" t="shared" si="0" ref="B51:I51">SUM(B43:B50)</f>
        <v>122235.20712328766</v>
      </c>
      <c r="C51" s="215">
        <f t="shared" si="0"/>
        <v>94928.59712328766</v>
      </c>
      <c r="D51" s="215">
        <f t="shared" si="0"/>
        <v>92981.32397260274</v>
      </c>
      <c r="E51" s="215">
        <f t="shared" si="0"/>
        <v>90667.05712328767</v>
      </c>
      <c r="F51" s="215">
        <f t="shared" si="0"/>
        <v>84788.84657534247</v>
      </c>
      <c r="G51" s="215">
        <f t="shared" si="0"/>
        <v>72816.46575342465</v>
      </c>
      <c r="H51" s="215">
        <f t="shared" si="0"/>
        <v>49496.99</v>
      </c>
      <c r="I51" s="215">
        <f t="shared" si="0"/>
        <v>24696.23</v>
      </c>
    </row>
    <row r="52" spans="2:7" ht="12.75">
      <c r="B52" s="210"/>
      <c r="C52" s="210"/>
      <c r="D52" s="210"/>
      <c r="E52" s="210"/>
      <c r="F52" s="210"/>
      <c r="G52" s="210"/>
    </row>
    <row r="53" spans="2:7" ht="12.75">
      <c r="B53" s="210"/>
      <c r="C53" s="210"/>
      <c r="D53" s="210"/>
      <c r="E53" s="210"/>
      <c r="F53" s="210"/>
      <c r="G53" s="210"/>
    </row>
    <row r="54" spans="1:9" ht="31.5">
      <c r="A54" s="223" t="s">
        <v>342</v>
      </c>
      <c r="B54" s="195">
        <f aca="true" t="shared" si="1" ref="B54:I54">+$F$9-B51</f>
        <v>359578.9528767123</v>
      </c>
      <c r="C54" s="195">
        <f t="shared" si="1"/>
        <v>386885.5628767123</v>
      </c>
      <c r="D54" s="195">
        <f t="shared" si="1"/>
        <v>388832.83602739725</v>
      </c>
      <c r="E54" s="195">
        <f t="shared" si="1"/>
        <v>391147.10287671234</v>
      </c>
      <c r="F54" s="195">
        <f t="shared" si="1"/>
        <v>397025.3134246575</v>
      </c>
      <c r="G54" s="195">
        <f t="shared" si="1"/>
        <v>408997.69424657535</v>
      </c>
      <c r="H54" s="195">
        <f t="shared" si="1"/>
        <v>432317.17</v>
      </c>
      <c r="I54" s="195">
        <f t="shared" si="1"/>
        <v>457117.93</v>
      </c>
    </row>
    <row r="55" spans="1:2" ht="12.75">
      <c r="A55" s="197"/>
      <c r="B55" s="198"/>
    </row>
    <row r="56" spans="1:2" ht="12.75">
      <c r="A56" s="199"/>
      <c r="B56" s="198"/>
    </row>
  </sheetData>
  <mergeCells count="1">
    <mergeCell ref="A1:B1"/>
  </mergeCells>
  <printOptions/>
  <pageMargins left="0.53" right="0.75" top="0.67" bottom="1" header="0" footer="0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3:H86"/>
  <sheetViews>
    <sheetView workbookViewId="0" topLeftCell="A1">
      <selection activeCell="J33" sqref="J33"/>
    </sheetView>
  </sheetViews>
  <sheetFormatPr defaultColWidth="9.140625" defaultRowHeight="12.75"/>
  <cols>
    <col min="1" max="1" width="13.140625" style="0" customWidth="1"/>
    <col min="2" max="2" width="13.57421875" style="0" customWidth="1"/>
    <col min="3" max="3" width="16.57421875" style="0" customWidth="1"/>
    <col min="6" max="6" width="21.8515625" style="0" customWidth="1"/>
    <col min="7" max="7" width="14.140625" style="0" customWidth="1"/>
    <col min="8" max="8" width="31.57421875" style="0" customWidth="1"/>
  </cols>
  <sheetData>
    <row r="3" spans="4:5" ht="12.75">
      <c r="D3" s="233"/>
      <c r="E3" s="233"/>
    </row>
    <row r="6" ht="12.75">
      <c r="C6" s="1"/>
    </row>
    <row r="8" ht="12.75">
      <c r="C8" s="234"/>
    </row>
    <row r="13" ht="12.75">
      <c r="C13" s="1"/>
    </row>
    <row r="25" spans="1:6" ht="12.75">
      <c r="A25" s="233"/>
      <c r="F25" s="1"/>
    </row>
    <row r="26" spans="1:7" ht="12.75">
      <c r="A26" s="233"/>
      <c r="C26" s="1"/>
      <c r="F26" s="1"/>
      <c r="G26" s="1"/>
    </row>
    <row r="27" spans="1:7" ht="12.75">
      <c r="A27" s="233"/>
      <c r="C27" s="1"/>
      <c r="E27" s="1"/>
      <c r="F27" s="1"/>
      <c r="G27" s="1"/>
    </row>
    <row r="28" spans="1:7" ht="12.75">
      <c r="A28" s="233"/>
      <c r="C28" s="1"/>
      <c r="E28" s="1"/>
      <c r="F28" s="1"/>
      <c r="G28" s="1"/>
    </row>
    <row r="29" spans="1:7" ht="12.75">
      <c r="A29" s="233"/>
      <c r="C29" s="1"/>
      <c r="E29" s="1"/>
      <c r="F29" s="1"/>
      <c r="G29" s="1"/>
    </row>
    <row r="30" spans="1:7" ht="12.75">
      <c r="A30" s="233"/>
      <c r="C30" s="1"/>
      <c r="E30" s="1"/>
      <c r="F30" s="1"/>
      <c r="G30" s="1"/>
    </row>
    <row r="31" spans="1:7" ht="12.75">
      <c r="A31" s="233"/>
      <c r="C31" s="1"/>
      <c r="E31" s="1"/>
      <c r="F31" s="1"/>
      <c r="G31" s="1"/>
    </row>
    <row r="32" spans="1:7" ht="12.75">
      <c r="A32" s="233"/>
      <c r="C32" s="1"/>
      <c r="E32" s="1"/>
      <c r="F32" s="1"/>
      <c r="G32" s="1"/>
    </row>
    <row r="33" spans="1:7" ht="12.75">
      <c r="A33" s="233"/>
      <c r="C33" s="1"/>
      <c r="E33" s="1"/>
      <c r="F33" s="1"/>
      <c r="G33" s="1"/>
    </row>
    <row r="34" spans="1:7" ht="12.75">
      <c r="A34" s="233"/>
      <c r="C34" s="1"/>
      <c r="E34" s="1"/>
      <c r="F34" s="1"/>
      <c r="G34" s="1"/>
    </row>
    <row r="35" spans="1:7" ht="12.75">
      <c r="A35" s="233"/>
      <c r="C35" s="1"/>
      <c r="E35" s="1"/>
      <c r="F35" s="1"/>
      <c r="G35" s="1"/>
    </row>
    <row r="36" spans="1:7" ht="12.75">
      <c r="A36" s="233"/>
      <c r="C36" s="1"/>
      <c r="E36" s="1"/>
      <c r="F36" s="1"/>
      <c r="G36" s="1"/>
    </row>
    <row r="37" spans="1:7" ht="12.75">
      <c r="A37" s="233"/>
      <c r="C37" s="1"/>
      <c r="E37" s="1"/>
      <c r="F37" s="1"/>
      <c r="G37" s="1"/>
    </row>
    <row r="38" spans="1:8" ht="12.75">
      <c r="A38" s="233"/>
      <c r="C38" s="1"/>
      <c r="E38" s="1"/>
      <c r="F38" s="1"/>
      <c r="G38" s="1"/>
      <c r="H38" s="1"/>
    </row>
    <row r="39" spans="1:7" ht="12.75">
      <c r="A39" s="233"/>
      <c r="C39" s="1"/>
      <c r="E39" s="1"/>
      <c r="F39" s="1"/>
      <c r="G39" s="1"/>
    </row>
    <row r="40" spans="1:7" ht="12.75">
      <c r="A40" s="233"/>
      <c r="C40" s="1"/>
      <c r="E40" s="1"/>
      <c r="F40" s="1"/>
      <c r="G40" s="1"/>
    </row>
    <row r="41" spans="1:7" ht="12.75">
      <c r="A41" s="233"/>
      <c r="C41" s="1"/>
      <c r="E41" s="1"/>
      <c r="F41" s="1"/>
      <c r="G41" s="1"/>
    </row>
    <row r="42" spans="1:7" ht="12.75">
      <c r="A42" s="233"/>
      <c r="C42" s="1"/>
      <c r="E42" s="1"/>
      <c r="F42" s="1"/>
      <c r="G42" s="1"/>
    </row>
    <row r="43" spans="1:7" ht="12.75">
      <c r="A43" s="233"/>
      <c r="C43" s="1"/>
      <c r="E43" s="1"/>
      <c r="F43" s="1"/>
      <c r="G43" s="1"/>
    </row>
    <row r="44" spans="1:7" ht="12.75">
      <c r="A44" s="233"/>
      <c r="C44" s="1"/>
      <c r="E44" s="1"/>
      <c r="F44" s="1"/>
      <c r="G44" s="1"/>
    </row>
    <row r="45" spans="1:7" ht="12.75">
      <c r="A45" s="233"/>
      <c r="C45" s="1"/>
      <c r="E45" s="1"/>
      <c r="F45" s="1"/>
      <c r="G45" s="1"/>
    </row>
    <row r="46" spans="1:7" ht="12.75">
      <c r="A46" s="233"/>
      <c r="C46" s="1"/>
      <c r="E46" s="1"/>
      <c r="F46" s="1"/>
      <c r="G46" s="1"/>
    </row>
    <row r="47" spans="1:7" ht="12.75">
      <c r="A47" s="233"/>
      <c r="C47" s="1"/>
      <c r="E47" s="1"/>
      <c r="F47" s="1"/>
      <c r="G47" s="1"/>
    </row>
    <row r="48" spans="1:7" ht="12.75">
      <c r="A48" s="233"/>
      <c r="C48" s="1"/>
      <c r="E48" s="1"/>
      <c r="F48" s="1"/>
      <c r="G48" s="1"/>
    </row>
    <row r="49" spans="1:7" ht="12.75">
      <c r="A49" s="233"/>
      <c r="C49" s="1"/>
      <c r="E49" s="1"/>
      <c r="F49" s="1"/>
      <c r="G49" s="1"/>
    </row>
    <row r="50" spans="1:8" ht="12.75">
      <c r="A50" s="233"/>
      <c r="C50" s="1"/>
      <c r="E50" s="1"/>
      <c r="F50" s="1"/>
      <c r="G50" s="1"/>
      <c r="H50" s="1"/>
    </row>
    <row r="51" spans="1:7" ht="12.75">
      <c r="A51" s="233"/>
      <c r="C51" s="1"/>
      <c r="E51" s="1"/>
      <c r="F51" s="1"/>
      <c r="G51" s="1"/>
    </row>
    <row r="52" spans="1:7" ht="12.75">
      <c r="A52" s="233"/>
      <c r="C52" s="1"/>
      <c r="E52" s="1"/>
      <c r="F52" s="1"/>
      <c r="G52" s="1"/>
    </row>
    <row r="53" spans="1:7" ht="12.75">
      <c r="A53" s="233"/>
      <c r="C53" s="1"/>
      <c r="E53" s="1"/>
      <c r="F53" s="1"/>
      <c r="G53" s="1"/>
    </row>
    <row r="54" spans="1:7" ht="12.75">
      <c r="A54" s="233"/>
      <c r="C54" s="1"/>
      <c r="E54" s="1"/>
      <c r="F54" s="1"/>
      <c r="G54" s="1"/>
    </row>
    <row r="55" spans="1:7" ht="12.75">
      <c r="A55" s="233"/>
      <c r="C55" s="1"/>
      <c r="E55" s="1"/>
      <c r="F55" s="1"/>
      <c r="G55" s="1"/>
    </row>
    <row r="56" spans="1:7" ht="12.75">
      <c r="A56" s="233"/>
      <c r="C56" s="1"/>
      <c r="E56" s="1"/>
      <c r="F56" s="1"/>
      <c r="G56" s="1"/>
    </row>
    <row r="57" spans="1:7" ht="12.75">
      <c r="A57" s="233"/>
      <c r="C57" s="1"/>
      <c r="E57" s="1"/>
      <c r="F57" s="1"/>
      <c r="G57" s="1"/>
    </row>
    <row r="58" spans="1:7" ht="12.75">
      <c r="A58" s="233"/>
      <c r="C58" s="1"/>
      <c r="E58" s="1"/>
      <c r="F58" s="1"/>
      <c r="G58" s="1"/>
    </row>
    <row r="59" spans="1:7" ht="12.75">
      <c r="A59" s="233"/>
      <c r="C59" s="1"/>
      <c r="E59" s="1"/>
      <c r="F59" s="1"/>
      <c r="G59" s="1"/>
    </row>
    <row r="60" spans="1:7" ht="12.75">
      <c r="A60" s="233"/>
      <c r="C60" s="1"/>
      <c r="E60" s="1"/>
      <c r="F60" s="1"/>
      <c r="G60" s="1"/>
    </row>
    <row r="61" spans="1:7" ht="12.75">
      <c r="A61" s="233"/>
      <c r="C61" s="1"/>
      <c r="E61" s="1"/>
      <c r="F61" s="1"/>
      <c r="G61" s="1"/>
    </row>
    <row r="62" spans="1:8" ht="12.75">
      <c r="A62" s="233"/>
      <c r="C62" s="1"/>
      <c r="E62" s="1"/>
      <c r="F62" s="1"/>
      <c r="G62" s="1"/>
      <c r="H62" s="1"/>
    </row>
    <row r="63" spans="1:7" ht="12.75">
      <c r="A63" s="233"/>
      <c r="C63" s="1"/>
      <c r="E63" s="1"/>
      <c r="F63" s="1"/>
      <c r="G63" s="1"/>
    </row>
    <row r="64" spans="1:7" ht="12.75">
      <c r="A64" s="233"/>
      <c r="C64" s="1"/>
      <c r="E64" s="1"/>
      <c r="F64" s="1"/>
      <c r="G64" s="1"/>
    </row>
    <row r="65" spans="1:7" ht="12.75">
      <c r="A65" s="233"/>
      <c r="C65" s="1"/>
      <c r="E65" s="1"/>
      <c r="F65" s="1"/>
      <c r="G65" s="1"/>
    </row>
    <row r="66" spans="1:7" ht="12.75">
      <c r="A66" s="233"/>
      <c r="C66" s="1"/>
      <c r="E66" s="1"/>
      <c r="F66" s="1"/>
      <c r="G66" s="1"/>
    </row>
    <row r="67" spans="1:7" ht="12.75">
      <c r="A67" s="233"/>
      <c r="C67" s="1"/>
      <c r="E67" s="1"/>
      <c r="F67" s="1"/>
      <c r="G67" s="1"/>
    </row>
    <row r="68" spans="1:7" ht="12.75">
      <c r="A68" s="233"/>
      <c r="C68" s="1"/>
      <c r="E68" s="1"/>
      <c r="F68" s="1"/>
      <c r="G68" s="1"/>
    </row>
    <row r="69" spans="1:7" ht="12.75">
      <c r="A69" s="233"/>
      <c r="C69" s="1"/>
      <c r="E69" s="1"/>
      <c r="F69" s="1"/>
      <c r="G69" s="1"/>
    </row>
    <row r="70" spans="1:7" ht="12.75">
      <c r="A70" s="233"/>
      <c r="C70" s="1"/>
      <c r="E70" s="1"/>
      <c r="F70" s="1"/>
      <c r="G70" s="1"/>
    </row>
    <row r="71" spans="1:7" ht="12.75">
      <c r="A71" s="233"/>
      <c r="C71" s="1"/>
      <c r="E71" s="1"/>
      <c r="F71" s="1"/>
      <c r="G71" s="1"/>
    </row>
    <row r="72" spans="1:7" ht="12.75">
      <c r="A72" s="233"/>
      <c r="C72" s="1"/>
      <c r="E72" s="1"/>
      <c r="F72" s="1"/>
      <c r="G72" s="1"/>
    </row>
    <row r="73" spans="1:7" ht="12.75">
      <c r="A73" s="233"/>
      <c r="C73" s="1"/>
      <c r="E73" s="1"/>
      <c r="F73" s="1"/>
      <c r="G73" s="1"/>
    </row>
    <row r="74" spans="1:8" ht="12.75">
      <c r="A74" s="233"/>
      <c r="C74" s="1"/>
      <c r="E74" s="1"/>
      <c r="F74" s="1"/>
      <c r="G74" s="1"/>
      <c r="H74" s="1"/>
    </row>
    <row r="75" spans="1:7" ht="12.75">
      <c r="A75" s="233"/>
      <c r="C75" s="1"/>
      <c r="E75" s="1"/>
      <c r="F75" s="1"/>
      <c r="G75" s="1"/>
    </row>
    <row r="76" spans="1:7" ht="12.75">
      <c r="A76" s="233"/>
      <c r="C76" s="1"/>
      <c r="E76" s="1"/>
      <c r="F76" s="1"/>
      <c r="G76" s="1"/>
    </row>
    <row r="77" spans="1:7" ht="12.75">
      <c r="A77" s="233"/>
      <c r="C77" s="1"/>
      <c r="E77" s="1"/>
      <c r="F77" s="1"/>
      <c r="G77" s="1"/>
    </row>
    <row r="78" spans="1:7" ht="12.75">
      <c r="A78" s="233"/>
      <c r="C78" s="1"/>
      <c r="E78" s="1"/>
      <c r="F78" s="1"/>
      <c r="G78" s="1"/>
    </row>
    <row r="79" spans="1:7" ht="12.75">
      <c r="A79" s="233"/>
      <c r="C79" s="1"/>
      <c r="E79" s="1"/>
      <c r="F79" s="1"/>
      <c r="G79" s="1"/>
    </row>
    <row r="80" spans="1:7" ht="12.75">
      <c r="A80" s="233"/>
      <c r="C80" s="1"/>
      <c r="E80" s="1"/>
      <c r="F80" s="1"/>
      <c r="G80" s="1"/>
    </row>
    <row r="81" spans="1:7" ht="12.75">
      <c r="A81" s="233"/>
      <c r="C81" s="1"/>
      <c r="E81" s="1"/>
      <c r="F81" s="1"/>
      <c r="G81" s="1"/>
    </row>
    <row r="82" spans="1:7" ht="12.75">
      <c r="A82" s="233"/>
      <c r="C82" s="1"/>
      <c r="E82" s="1"/>
      <c r="F82" s="1"/>
      <c r="G82" s="1"/>
    </row>
    <row r="83" spans="1:7" ht="12.75">
      <c r="A83" s="233"/>
      <c r="E83" s="1"/>
      <c r="F83" s="1"/>
      <c r="G83" s="1"/>
    </row>
    <row r="84" spans="1:7" ht="12.75">
      <c r="A84" s="233"/>
      <c r="E84" s="1"/>
      <c r="F84" s="1"/>
      <c r="G84" s="1"/>
    </row>
    <row r="85" spans="1:7" ht="12.75">
      <c r="A85" s="233"/>
      <c r="E85" s="1"/>
      <c r="F85" s="1"/>
      <c r="G85" s="1"/>
    </row>
    <row r="86" spans="1:8" ht="12.75">
      <c r="A86" s="233"/>
      <c r="E86" s="1"/>
      <c r="G86" s="1"/>
      <c r="H86" s="1"/>
    </row>
  </sheetData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6"/>
  <dimension ref="A1:A167"/>
  <sheetViews>
    <sheetView workbookViewId="0" topLeftCell="A28">
      <selection activeCell="J10" sqref="J10"/>
    </sheetView>
  </sheetViews>
  <sheetFormatPr defaultColWidth="9.140625" defaultRowHeight="12.75"/>
  <sheetData>
    <row r="1" ht="15">
      <c r="A1" s="29" t="s">
        <v>13</v>
      </c>
    </row>
    <row r="2" ht="15">
      <c r="A2" s="29" t="s">
        <v>14</v>
      </c>
    </row>
    <row r="3" ht="15">
      <c r="A3" s="29" t="s">
        <v>15</v>
      </c>
    </row>
    <row r="4" ht="15">
      <c r="A4" s="29" t="s">
        <v>16</v>
      </c>
    </row>
    <row r="5" ht="15">
      <c r="A5" s="29" t="s">
        <v>17</v>
      </c>
    </row>
    <row r="6" ht="15">
      <c r="A6" s="29" t="s">
        <v>18</v>
      </c>
    </row>
    <row r="7" ht="15">
      <c r="A7" s="29" t="s">
        <v>19</v>
      </c>
    </row>
    <row r="8" ht="15">
      <c r="A8" s="29" t="s">
        <v>20</v>
      </c>
    </row>
    <row r="9" ht="15">
      <c r="A9" s="29" t="s">
        <v>21</v>
      </c>
    </row>
    <row r="10" ht="15">
      <c r="A10" s="29" t="s">
        <v>22</v>
      </c>
    </row>
    <row r="11" ht="15">
      <c r="A11" s="29" t="s">
        <v>23</v>
      </c>
    </row>
    <row r="12" ht="15">
      <c r="A12" s="29" t="s">
        <v>24</v>
      </c>
    </row>
    <row r="13" ht="15">
      <c r="A13" s="29" t="s">
        <v>25</v>
      </c>
    </row>
    <row r="14" ht="15">
      <c r="A14" s="29" t="s">
        <v>26</v>
      </c>
    </row>
    <row r="15" ht="15">
      <c r="A15" s="29" t="s">
        <v>27</v>
      </c>
    </row>
    <row r="16" ht="15">
      <c r="A16" s="29" t="s">
        <v>28</v>
      </c>
    </row>
    <row r="17" ht="15">
      <c r="A17" s="29" t="s">
        <v>29</v>
      </c>
    </row>
    <row r="18" ht="15">
      <c r="A18" s="29" t="s">
        <v>30</v>
      </c>
    </row>
    <row r="19" ht="15">
      <c r="A19" s="29" t="s">
        <v>31</v>
      </c>
    </row>
    <row r="20" ht="15">
      <c r="A20" s="29" t="s">
        <v>32</v>
      </c>
    </row>
    <row r="21" ht="15">
      <c r="A21" s="29" t="s">
        <v>33</v>
      </c>
    </row>
    <row r="22" ht="15">
      <c r="A22" s="29" t="s">
        <v>34</v>
      </c>
    </row>
    <row r="23" ht="15">
      <c r="A23" s="29" t="s">
        <v>35</v>
      </c>
    </row>
    <row r="24" ht="15">
      <c r="A24" s="29" t="s">
        <v>36</v>
      </c>
    </row>
    <row r="25" ht="15">
      <c r="A25" s="29" t="s">
        <v>37</v>
      </c>
    </row>
    <row r="26" ht="15">
      <c r="A26" s="29" t="s">
        <v>38</v>
      </c>
    </row>
    <row r="27" ht="15">
      <c r="A27" s="29" t="s">
        <v>39</v>
      </c>
    </row>
    <row r="28" ht="15">
      <c r="A28" s="29" t="s">
        <v>40</v>
      </c>
    </row>
    <row r="29" ht="15">
      <c r="A29" s="29" t="s">
        <v>41</v>
      </c>
    </row>
    <row r="30" ht="15">
      <c r="A30" s="29" t="s">
        <v>42</v>
      </c>
    </row>
    <row r="31" ht="15">
      <c r="A31" s="29" t="s">
        <v>43</v>
      </c>
    </row>
    <row r="32" ht="15">
      <c r="A32" s="29" t="s">
        <v>44</v>
      </c>
    </row>
    <row r="33" ht="15">
      <c r="A33" s="29" t="s">
        <v>45</v>
      </c>
    </row>
    <row r="34" ht="15">
      <c r="A34" s="29" t="s">
        <v>46</v>
      </c>
    </row>
    <row r="35" ht="15">
      <c r="A35" s="29" t="s">
        <v>47</v>
      </c>
    </row>
    <row r="36" ht="15">
      <c r="A36" s="29" t="s">
        <v>48</v>
      </c>
    </row>
    <row r="37" ht="15">
      <c r="A37" s="29" t="s">
        <v>49</v>
      </c>
    </row>
    <row r="38" ht="15">
      <c r="A38" s="29" t="s">
        <v>50</v>
      </c>
    </row>
    <row r="39" ht="15">
      <c r="A39" s="29" t="s">
        <v>51</v>
      </c>
    </row>
    <row r="40" ht="15">
      <c r="A40" s="29" t="s">
        <v>52</v>
      </c>
    </row>
    <row r="41" ht="15">
      <c r="A41" s="29" t="s">
        <v>53</v>
      </c>
    </row>
    <row r="42" ht="15">
      <c r="A42" s="29" t="s">
        <v>54</v>
      </c>
    </row>
    <row r="43" ht="15">
      <c r="A43" s="29" t="s">
        <v>55</v>
      </c>
    </row>
    <row r="44" ht="15">
      <c r="A44" s="29" t="s">
        <v>56</v>
      </c>
    </row>
    <row r="45" ht="15">
      <c r="A45" s="29" t="s">
        <v>57</v>
      </c>
    </row>
    <row r="46" ht="15">
      <c r="A46" s="29" t="s">
        <v>58</v>
      </c>
    </row>
    <row r="47" ht="15">
      <c r="A47" s="29" t="s">
        <v>59</v>
      </c>
    </row>
    <row r="48" ht="15">
      <c r="A48" s="29" t="s">
        <v>60</v>
      </c>
    </row>
    <row r="49" ht="15">
      <c r="A49" s="29" t="s">
        <v>61</v>
      </c>
    </row>
    <row r="50" ht="15">
      <c r="A50" s="29" t="s">
        <v>62</v>
      </c>
    </row>
    <row r="51" ht="15">
      <c r="A51" s="29" t="s">
        <v>63</v>
      </c>
    </row>
    <row r="52" ht="15">
      <c r="A52" s="29" t="s">
        <v>64</v>
      </c>
    </row>
    <row r="53" ht="15">
      <c r="A53" s="29" t="s">
        <v>65</v>
      </c>
    </row>
    <row r="54" ht="15">
      <c r="A54" s="29" t="s">
        <v>66</v>
      </c>
    </row>
    <row r="55" ht="15">
      <c r="A55" s="29" t="s">
        <v>67</v>
      </c>
    </row>
    <row r="56" ht="15">
      <c r="A56" s="29" t="s">
        <v>68</v>
      </c>
    </row>
    <row r="57" ht="15">
      <c r="A57" s="29" t="s">
        <v>69</v>
      </c>
    </row>
    <row r="58" ht="15">
      <c r="A58" s="29" t="s">
        <v>70</v>
      </c>
    </row>
    <row r="59" ht="15">
      <c r="A59" s="29" t="s">
        <v>71</v>
      </c>
    </row>
    <row r="60" ht="15">
      <c r="A60" s="29" t="s">
        <v>72</v>
      </c>
    </row>
    <row r="61" ht="15">
      <c r="A61" s="29" t="s">
        <v>73</v>
      </c>
    </row>
    <row r="62" ht="15">
      <c r="A62" s="29" t="s">
        <v>74</v>
      </c>
    </row>
    <row r="63" ht="15">
      <c r="A63" s="29" t="s">
        <v>75</v>
      </c>
    </row>
    <row r="64" ht="15">
      <c r="A64" s="29" t="s">
        <v>76</v>
      </c>
    </row>
    <row r="65" ht="15">
      <c r="A65" s="29" t="s">
        <v>77</v>
      </c>
    </row>
    <row r="66" ht="15">
      <c r="A66" s="29" t="s">
        <v>78</v>
      </c>
    </row>
    <row r="67" ht="15">
      <c r="A67" s="29" t="s">
        <v>79</v>
      </c>
    </row>
    <row r="68" ht="15">
      <c r="A68" s="29" t="s">
        <v>80</v>
      </c>
    </row>
    <row r="69" ht="15">
      <c r="A69" s="29" t="s">
        <v>81</v>
      </c>
    </row>
    <row r="70" ht="15">
      <c r="A70" s="29" t="s">
        <v>82</v>
      </c>
    </row>
    <row r="71" ht="15">
      <c r="A71" s="29" t="s">
        <v>83</v>
      </c>
    </row>
    <row r="72" ht="15">
      <c r="A72" s="29" t="s">
        <v>84</v>
      </c>
    </row>
    <row r="73" ht="15">
      <c r="A73" s="29" t="s">
        <v>85</v>
      </c>
    </row>
    <row r="74" ht="15">
      <c r="A74" s="29" t="s">
        <v>86</v>
      </c>
    </row>
    <row r="75" ht="15">
      <c r="A75" s="29" t="s">
        <v>87</v>
      </c>
    </row>
    <row r="76" ht="15">
      <c r="A76" s="29" t="s">
        <v>88</v>
      </c>
    </row>
    <row r="77" ht="15">
      <c r="A77" s="29" t="s">
        <v>89</v>
      </c>
    </row>
    <row r="78" ht="15">
      <c r="A78" s="29" t="s">
        <v>90</v>
      </c>
    </row>
    <row r="79" ht="15">
      <c r="A79" s="29" t="s">
        <v>91</v>
      </c>
    </row>
    <row r="80" ht="15">
      <c r="A80" s="29" t="s">
        <v>92</v>
      </c>
    </row>
    <row r="81" ht="15">
      <c r="A81" s="29" t="s">
        <v>93</v>
      </c>
    </row>
    <row r="82" ht="15">
      <c r="A82" s="29" t="s">
        <v>94</v>
      </c>
    </row>
    <row r="83" ht="15">
      <c r="A83" s="29" t="s">
        <v>95</v>
      </c>
    </row>
    <row r="84" ht="15">
      <c r="A84" s="29" t="s">
        <v>96</v>
      </c>
    </row>
    <row r="85" ht="15">
      <c r="A85" s="29" t="s">
        <v>97</v>
      </c>
    </row>
    <row r="86" ht="15">
      <c r="A86" s="29" t="s">
        <v>98</v>
      </c>
    </row>
    <row r="87" ht="15">
      <c r="A87" s="29" t="s">
        <v>99</v>
      </c>
    </row>
    <row r="88" ht="15">
      <c r="A88" s="29" t="s">
        <v>100</v>
      </c>
    </row>
    <row r="89" ht="15">
      <c r="A89" s="29" t="s">
        <v>101</v>
      </c>
    </row>
    <row r="90" ht="15">
      <c r="A90" s="29" t="s">
        <v>102</v>
      </c>
    </row>
    <row r="91" ht="15">
      <c r="A91" s="29" t="s">
        <v>103</v>
      </c>
    </row>
    <row r="92" ht="15">
      <c r="A92" s="29" t="s">
        <v>104</v>
      </c>
    </row>
    <row r="93" ht="15">
      <c r="A93" s="29" t="s">
        <v>105</v>
      </c>
    </row>
    <row r="94" ht="15">
      <c r="A94" s="29" t="s">
        <v>106</v>
      </c>
    </row>
    <row r="95" ht="15">
      <c r="A95" s="29" t="s">
        <v>107</v>
      </c>
    </row>
    <row r="96" ht="15">
      <c r="A96" s="29" t="s">
        <v>108</v>
      </c>
    </row>
    <row r="97" ht="15">
      <c r="A97" s="29" t="s">
        <v>109</v>
      </c>
    </row>
    <row r="98" ht="15">
      <c r="A98" s="29" t="s">
        <v>110</v>
      </c>
    </row>
    <row r="99" ht="15">
      <c r="A99" s="29" t="s">
        <v>111</v>
      </c>
    </row>
    <row r="100" ht="15">
      <c r="A100" s="29" t="s">
        <v>112</v>
      </c>
    </row>
    <row r="101" ht="15">
      <c r="A101" s="29" t="s">
        <v>113</v>
      </c>
    </row>
    <row r="102" ht="15">
      <c r="A102" s="29" t="s">
        <v>114</v>
      </c>
    </row>
    <row r="103" ht="15">
      <c r="A103" s="29" t="s">
        <v>115</v>
      </c>
    </row>
    <row r="104" ht="15">
      <c r="A104" s="29" t="s">
        <v>116</v>
      </c>
    </row>
    <row r="105" ht="15">
      <c r="A105" s="29" t="s">
        <v>117</v>
      </c>
    </row>
    <row r="106" ht="15">
      <c r="A106" s="29" t="s">
        <v>118</v>
      </c>
    </row>
    <row r="107" ht="15">
      <c r="A107" s="29" t="s">
        <v>119</v>
      </c>
    </row>
    <row r="108" ht="15">
      <c r="A108" s="29" t="s">
        <v>120</v>
      </c>
    </row>
    <row r="109" ht="15">
      <c r="A109" s="29" t="s">
        <v>121</v>
      </c>
    </row>
    <row r="110" ht="15">
      <c r="A110" s="29" t="s">
        <v>122</v>
      </c>
    </row>
    <row r="111" ht="15">
      <c r="A111" s="29" t="s">
        <v>123</v>
      </c>
    </row>
    <row r="112" ht="15">
      <c r="A112" s="29" t="s">
        <v>124</v>
      </c>
    </row>
    <row r="113" ht="15">
      <c r="A113" s="29" t="s">
        <v>125</v>
      </c>
    </row>
    <row r="114" ht="15">
      <c r="A114" s="29" t="s">
        <v>126</v>
      </c>
    </row>
    <row r="115" ht="15">
      <c r="A115" s="29" t="s">
        <v>127</v>
      </c>
    </row>
    <row r="116" ht="15">
      <c r="A116" s="29" t="s">
        <v>128</v>
      </c>
    </row>
    <row r="117" ht="15">
      <c r="A117" s="29" t="s">
        <v>129</v>
      </c>
    </row>
    <row r="118" ht="15">
      <c r="A118" s="29" t="s">
        <v>130</v>
      </c>
    </row>
    <row r="119" ht="15">
      <c r="A119" s="29" t="s">
        <v>131</v>
      </c>
    </row>
    <row r="120" ht="15">
      <c r="A120" s="29" t="s">
        <v>132</v>
      </c>
    </row>
    <row r="121" ht="15">
      <c r="A121" s="29" t="s">
        <v>133</v>
      </c>
    </row>
    <row r="122" ht="15">
      <c r="A122" s="29" t="s">
        <v>134</v>
      </c>
    </row>
    <row r="123" ht="15">
      <c r="A123" s="29" t="s">
        <v>135</v>
      </c>
    </row>
    <row r="124" ht="15">
      <c r="A124" s="29" t="s">
        <v>136</v>
      </c>
    </row>
    <row r="125" ht="15">
      <c r="A125" s="29" t="s">
        <v>137</v>
      </c>
    </row>
    <row r="126" ht="15">
      <c r="A126" s="29" t="s">
        <v>138</v>
      </c>
    </row>
    <row r="127" ht="15">
      <c r="A127" s="29" t="s">
        <v>139</v>
      </c>
    </row>
    <row r="128" ht="15">
      <c r="A128" s="29" t="s">
        <v>140</v>
      </c>
    </row>
    <row r="129" ht="15">
      <c r="A129" s="29" t="s">
        <v>141</v>
      </c>
    </row>
    <row r="130" ht="15">
      <c r="A130" s="29" t="s">
        <v>142</v>
      </c>
    </row>
    <row r="131" ht="15">
      <c r="A131" s="29" t="s">
        <v>143</v>
      </c>
    </row>
    <row r="132" ht="15">
      <c r="A132" s="29" t="s">
        <v>144</v>
      </c>
    </row>
    <row r="133" ht="15">
      <c r="A133" s="29" t="s">
        <v>145</v>
      </c>
    </row>
    <row r="134" ht="15">
      <c r="A134" s="29" t="s">
        <v>146</v>
      </c>
    </row>
    <row r="135" ht="15">
      <c r="A135" s="29" t="s">
        <v>147</v>
      </c>
    </row>
    <row r="136" ht="15">
      <c r="A136" s="29" t="s">
        <v>148</v>
      </c>
    </row>
    <row r="137" ht="15">
      <c r="A137" s="29" t="s">
        <v>149</v>
      </c>
    </row>
    <row r="138" ht="15">
      <c r="A138" s="29" t="s">
        <v>150</v>
      </c>
    </row>
    <row r="139" ht="15">
      <c r="A139" s="29" t="s">
        <v>151</v>
      </c>
    </row>
    <row r="140" ht="15">
      <c r="A140" s="29" t="s">
        <v>152</v>
      </c>
    </row>
    <row r="141" ht="15">
      <c r="A141" s="29" t="s">
        <v>153</v>
      </c>
    </row>
    <row r="142" ht="15">
      <c r="A142" s="29" t="s">
        <v>154</v>
      </c>
    </row>
    <row r="143" ht="15">
      <c r="A143" s="29" t="s">
        <v>155</v>
      </c>
    </row>
    <row r="144" ht="15">
      <c r="A144" s="29" t="s">
        <v>156</v>
      </c>
    </row>
    <row r="145" ht="15">
      <c r="A145" s="29" t="s">
        <v>157</v>
      </c>
    </row>
    <row r="146" ht="15">
      <c r="A146" s="29" t="s">
        <v>158</v>
      </c>
    </row>
    <row r="147" ht="15">
      <c r="A147" s="29" t="s">
        <v>159</v>
      </c>
    </row>
    <row r="148" ht="15">
      <c r="A148" s="29" t="s">
        <v>160</v>
      </c>
    </row>
    <row r="149" ht="15">
      <c r="A149" s="29" t="s">
        <v>161</v>
      </c>
    </row>
    <row r="150" ht="15">
      <c r="A150" s="29" t="s">
        <v>162</v>
      </c>
    </row>
    <row r="151" ht="15">
      <c r="A151" s="29" t="s">
        <v>163</v>
      </c>
    </row>
    <row r="152" ht="15">
      <c r="A152" s="29" t="s">
        <v>164</v>
      </c>
    </row>
    <row r="153" ht="15">
      <c r="A153" s="29" t="s">
        <v>165</v>
      </c>
    </row>
    <row r="154" ht="15">
      <c r="A154" s="29" t="s">
        <v>166</v>
      </c>
    </row>
    <row r="155" ht="15">
      <c r="A155" s="29" t="s">
        <v>167</v>
      </c>
    </row>
    <row r="156" ht="15">
      <c r="A156" s="29" t="s">
        <v>168</v>
      </c>
    </row>
    <row r="157" ht="15">
      <c r="A157" s="29" t="s">
        <v>169</v>
      </c>
    </row>
    <row r="158" ht="15">
      <c r="A158" s="29" t="s">
        <v>170</v>
      </c>
    </row>
    <row r="159" ht="15">
      <c r="A159" s="29" t="s">
        <v>171</v>
      </c>
    </row>
    <row r="160" ht="15">
      <c r="A160" s="29" t="s">
        <v>172</v>
      </c>
    </row>
    <row r="161" ht="15">
      <c r="A161" s="29" t="s">
        <v>173</v>
      </c>
    </row>
    <row r="162" ht="15">
      <c r="A162" s="29" t="s">
        <v>174</v>
      </c>
    </row>
    <row r="163" ht="15">
      <c r="A163" s="29" t="s">
        <v>175</v>
      </c>
    </row>
    <row r="164" ht="15">
      <c r="A164" s="29" t="s">
        <v>176</v>
      </c>
    </row>
    <row r="165" ht="15">
      <c r="A165" s="29" t="s">
        <v>177</v>
      </c>
    </row>
    <row r="166" ht="15">
      <c r="A166" s="29" t="s">
        <v>178</v>
      </c>
    </row>
    <row r="167" ht="15">
      <c r="A167" s="29" t="s">
        <v>179</v>
      </c>
    </row>
  </sheetData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I32" sqref="I32"/>
    </sheetView>
  </sheetViews>
  <sheetFormatPr defaultColWidth="9.140625" defaultRowHeight="12.75"/>
  <cols>
    <col min="1" max="1" width="24.7109375" style="0" customWidth="1"/>
    <col min="2" max="2" width="11.57421875" style="0" customWidth="1"/>
    <col min="3" max="3" width="14.8515625" style="0" bestFit="1" customWidth="1"/>
    <col min="4" max="4" width="11.140625" style="0" customWidth="1"/>
    <col min="5" max="5" width="8.7109375" style="0" customWidth="1"/>
    <col min="6" max="6" width="17.00390625" style="0" bestFit="1" customWidth="1"/>
    <col min="7" max="7" width="9.28125" style="0" customWidth="1"/>
    <col min="8" max="8" width="12.8515625" style="0" customWidth="1"/>
    <col min="9" max="9" width="17.140625" style="0" customWidth="1"/>
    <col min="10" max="10" width="13.7109375" style="0" bestFit="1" customWidth="1"/>
  </cols>
  <sheetData>
    <row r="1" ht="15.75">
      <c r="B1" s="202" t="s">
        <v>350</v>
      </c>
    </row>
    <row r="3" spans="1:10" ht="21" customHeight="1">
      <c r="A3" s="24"/>
      <c r="B3" s="178" t="s">
        <v>311</v>
      </c>
      <c r="C3" s="178" t="s">
        <v>312</v>
      </c>
      <c r="D3" s="256" t="s">
        <v>279</v>
      </c>
      <c r="E3" s="178" t="s">
        <v>280</v>
      </c>
      <c r="F3" s="178" t="s">
        <v>308</v>
      </c>
      <c r="G3" s="178" t="s">
        <v>317</v>
      </c>
      <c r="H3" s="178" t="s">
        <v>280</v>
      </c>
      <c r="I3" s="178" t="s">
        <v>309</v>
      </c>
      <c r="J3" s="24"/>
    </row>
    <row r="4" spans="1:10" ht="12.7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2.75">
      <c r="A5" s="24" t="s">
        <v>313</v>
      </c>
      <c r="B5" s="24">
        <v>960103</v>
      </c>
      <c r="C5" s="24" t="s">
        <v>315</v>
      </c>
      <c r="D5" s="24">
        <f>+'JAVNI SKLAD-BANKA KOPER'!C145</f>
        <v>41221101</v>
      </c>
      <c r="E5" s="178">
        <f>+'JAVNI SKLAD-BANKA KOPER'!E145</f>
        <v>550305</v>
      </c>
      <c r="F5" s="257">
        <f>+'JAVNI SKLAD-BANKA KOPER'!E143</f>
        <v>15000</v>
      </c>
      <c r="G5" s="166">
        <v>1250</v>
      </c>
      <c r="H5" s="178">
        <f>+'JAVNI SKLAD-BANKA KOPER'!D145</f>
        <v>403305</v>
      </c>
      <c r="I5" s="257">
        <f>+'JAVNI SKLAD-BANKA KOPER'!D143</f>
        <v>1884.66</v>
      </c>
      <c r="J5" s="257">
        <f>F5+I5</f>
        <v>16884.66</v>
      </c>
    </row>
    <row r="6" spans="1:10" ht="12.75">
      <c r="A6" s="24"/>
      <c r="B6" s="24"/>
      <c r="C6" s="24"/>
      <c r="D6" s="24"/>
      <c r="E6" s="178"/>
      <c r="F6" s="257"/>
      <c r="G6" s="166"/>
      <c r="H6" s="178"/>
      <c r="I6" s="257"/>
      <c r="J6" s="24"/>
    </row>
    <row r="7" spans="1:10" ht="12.75">
      <c r="A7" s="24" t="s">
        <v>313</v>
      </c>
      <c r="B7" s="24">
        <v>960100</v>
      </c>
      <c r="C7" s="24">
        <v>5271050</v>
      </c>
      <c r="D7" s="24">
        <f>+'BANKA KOPER -JSR-69,5'!C97</f>
        <v>41221101</v>
      </c>
      <c r="E7" s="178">
        <f>+'BANKA KOPER -JSR-69,5'!D97</f>
        <v>550305</v>
      </c>
      <c r="F7" s="257">
        <f>+'BANKA KOPER -JSR-69,5'!D98</f>
        <v>9930.898729045948</v>
      </c>
      <c r="G7" s="166">
        <f>+'BANKA KOPER -JSR-69,5'!D93</f>
        <v>827.5748940871625</v>
      </c>
      <c r="H7" s="178">
        <f>+'BANKA KOPER -JSR-69,5'!E97</f>
        <v>403305</v>
      </c>
      <c r="I7" s="257">
        <v>321.5</v>
      </c>
      <c r="J7" s="257">
        <f>F7+I7</f>
        <v>10252.398729045948</v>
      </c>
    </row>
    <row r="8" spans="1:10" ht="12.75">
      <c r="A8" s="24"/>
      <c r="B8" s="24"/>
      <c r="C8" s="24"/>
      <c r="D8" s="24"/>
      <c r="E8" s="178"/>
      <c r="F8" s="257"/>
      <c r="G8" s="166"/>
      <c r="H8" s="178"/>
      <c r="I8" s="257"/>
      <c r="J8" s="24"/>
    </row>
    <row r="9" spans="1:10" ht="12.75">
      <c r="A9" s="24"/>
      <c r="B9" s="24"/>
      <c r="C9" s="24"/>
      <c r="D9" s="24"/>
      <c r="E9" s="178"/>
      <c r="F9" s="257"/>
      <c r="G9" s="166"/>
      <c r="H9" s="178"/>
      <c r="I9" s="257"/>
      <c r="J9" s="24"/>
    </row>
    <row r="10" spans="1:10" ht="12.75">
      <c r="A10" s="24"/>
      <c r="B10" s="24"/>
      <c r="C10" s="24"/>
      <c r="D10" s="24"/>
      <c r="E10" s="178"/>
      <c r="F10" s="257"/>
      <c r="G10" s="166"/>
      <c r="H10" s="178"/>
      <c r="I10" s="257"/>
      <c r="J10" s="24"/>
    </row>
    <row r="11" spans="1:10" ht="12.75">
      <c r="A11" s="24" t="s">
        <v>310</v>
      </c>
      <c r="B11" s="24">
        <v>960102</v>
      </c>
      <c r="C11" s="24" t="s">
        <v>316</v>
      </c>
      <c r="D11" s="24">
        <f>+'DEŽELNA BANKA d.d.'!E75</f>
        <v>41221101</v>
      </c>
      <c r="E11" s="178">
        <f>+'DEŽELNA BANKA d.d.'!F75</f>
        <v>550101</v>
      </c>
      <c r="F11" s="257">
        <f>+'DEŽELNA BANKA d.d.'!F73</f>
        <v>30000</v>
      </c>
      <c r="G11" s="166">
        <f>+'DEŽELNA BANKA d.d.'!E67</f>
        <v>2500</v>
      </c>
      <c r="H11" s="178">
        <f>+'DEŽELNA BANKA d.d.'!G75</f>
        <v>403101</v>
      </c>
      <c r="I11" s="257">
        <v>805.71</v>
      </c>
      <c r="J11" s="257">
        <f>F11+I11</f>
        <v>30805.71</v>
      </c>
    </row>
    <row r="12" spans="1:10" ht="12.75">
      <c r="A12" s="24"/>
      <c r="B12" s="24"/>
      <c r="C12" s="24"/>
      <c r="D12" s="24"/>
      <c r="E12" s="178"/>
      <c r="F12" s="166"/>
      <c r="G12" s="166"/>
      <c r="H12" s="178"/>
      <c r="I12" s="166"/>
      <c r="J12" s="24"/>
    </row>
    <row r="13" spans="1:10" ht="12.75">
      <c r="A13" s="24" t="s">
        <v>314</v>
      </c>
      <c r="B13" s="24">
        <v>250002</v>
      </c>
      <c r="C13" s="24" t="s">
        <v>318</v>
      </c>
      <c r="D13" s="24">
        <v>41221101</v>
      </c>
      <c r="E13" s="178">
        <v>500100</v>
      </c>
      <c r="F13" s="166"/>
      <c r="G13" s="166"/>
      <c r="H13" s="178">
        <v>403100</v>
      </c>
      <c r="I13" s="166"/>
      <c r="J13" s="24"/>
    </row>
    <row r="14" spans="1:10" ht="12.75">
      <c r="A14" s="24"/>
      <c r="B14" s="24"/>
      <c r="C14" s="24"/>
      <c r="D14" s="24"/>
      <c r="E14" s="178"/>
      <c r="F14" s="166"/>
      <c r="G14" s="166"/>
      <c r="H14" s="178"/>
      <c r="I14" s="166"/>
      <c r="J14" s="257"/>
    </row>
    <row r="15" spans="1:10" ht="12.75">
      <c r="A15" s="24" t="s">
        <v>351</v>
      </c>
      <c r="B15" s="24">
        <v>960101</v>
      </c>
      <c r="C15" s="24" t="s">
        <v>352</v>
      </c>
      <c r="D15" s="24">
        <v>41221101</v>
      </c>
      <c r="E15" s="178">
        <v>550101</v>
      </c>
      <c r="F15" s="258">
        <v>23833.26</v>
      </c>
      <c r="G15" s="166">
        <v>2166.66</v>
      </c>
      <c r="H15" s="178">
        <v>403101</v>
      </c>
      <c r="I15" s="332">
        <v>8917.1</v>
      </c>
      <c r="J15" s="257">
        <f>F15+I15</f>
        <v>32750.36</v>
      </c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57"/>
      <c r="J16" s="257"/>
    </row>
    <row r="17" spans="1:10" ht="12.75">
      <c r="A17" s="24" t="s">
        <v>348</v>
      </c>
      <c r="B17" s="24">
        <v>960104</v>
      </c>
      <c r="C17" s="24" t="s">
        <v>349</v>
      </c>
      <c r="D17" s="24">
        <v>41221101</v>
      </c>
      <c r="E17" s="178">
        <v>550101</v>
      </c>
      <c r="F17" s="166">
        <v>50000</v>
      </c>
      <c r="G17" s="166">
        <f>+'DEŽELNA BANKA 2009'!E9</f>
        <v>4166.666666666667</v>
      </c>
      <c r="H17" s="24">
        <v>403101</v>
      </c>
      <c r="I17" s="257">
        <v>7881.65</v>
      </c>
      <c r="J17" s="257">
        <f>F17+I17</f>
        <v>57881.65</v>
      </c>
    </row>
    <row r="18" spans="1:10" ht="12.75">
      <c r="A18" s="235" t="s">
        <v>354</v>
      </c>
      <c r="B18" s="24"/>
      <c r="C18" s="24"/>
      <c r="D18" s="330">
        <v>360000</v>
      </c>
      <c r="E18" s="178"/>
      <c r="F18" s="330">
        <v>6000</v>
      </c>
      <c r="G18" s="330">
        <v>3000</v>
      </c>
      <c r="H18" s="24"/>
      <c r="I18" s="257">
        <v>2106.71</v>
      </c>
      <c r="J18" s="257">
        <f>F18+I18</f>
        <v>8106.71</v>
      </c>
    </row>
    <row r="19" spans="1:10" ht="12.75">
      <c r="A19" s="24"/>
      <c r="B19" s="24"/>
      <c r="C19" s="24"/>
      <c r="D19" s="24" t="s">
        <v>402</v>
      </c>
      <c r="E19" s="178">
        <v>550101</v>
      </c>
      <c r="F19" s="166">
        <f>+F17+F11+F9+F15+F18</f>
        <v>109833.26</v>
      </c>
      <c r="G19" s="24"/>
      <c r="H19" s="24">
        <v>403101</v>
      </c>
      <c r="I19" s="257">
        <f>+I9+I11+I17+I15+I18</f>
        <v>19711.17</v>
      </c>
      <c r="J19" s="257"/>
    </row>
    <row r="20" spans="1:10" ht="12.75">
      <c r="A20" s="24"/>
      <c r="B20" s="24"/>
      <c r="C20" s="24"/>
      <c r="D20" s="24"/>
      <c r="E20" s="178"/>
      <c r="F20" s="24"/>
      <c r="G20" s="24"/>
      <c r="H20" s="24"/>
      <c r="I20" s="24"/>
      <c r="J20" s="257"/>
    </row>
    <row r="21" spans="1:10" ht="12.75">
      <c r="A21" s="24"/>
      <c r="B21" s="24"/>
      <c r="C21" s="24"/>
      <c r="D21" s="24" t="s">
        <v>402</v>
      </c>
      <c r="E21" s="178">
        <v>550305</v>
      </c>
      <c r="F21" s="331">
        <f>+F7+F5</f>
        <v>24930.898729045948</v>
      </c>
      <c r="G21" s="24"/>
      <c r="H21" s="24">
        <v>403305</v>
      </c>
      <c r="I21" s="257">
        <f>+I5+I7</f>
        <v>2206.16</v>
      </c>
      <c r="J21" s="24"/>
    </row>
  </sheetData>
  <printOptions/>
  <pageMargins left="0.75" right="0.75" top="0.984251968503937" bottom="0.984251968503937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2"/>
  <dimension ref="A1:J514"/>
  <sheetViews>
    <sheetView view="pageBreakPreview" zoomScaleSheetLayoutView="100" workbookViewId="0" topLeftCell="A113">
      <selection activeCell="A1" sqref="A1:J154"/>
    </sheetView>
  </sheetViews>
  <sheetFormatPr defaultColWidth="9.140625" defaultRowHeight="12.75"/>
  <cols>
    <col min="1" max="1" width="15.421875" style="1" customWidth="1"/>
    <col min="2" max="2" width="7.421875" style="1" customWidth="1"/>
    <col min="3" max="3" width="17.8515625" style="1" customWidth="1"/>
    <col min="4" max="4" width="17.00390625" style="0" customWidth="1"/>
    <col min="5" max="5" width="14.7109375" style="0" customWidth="1"/>
    <col min="6" max="6" width="14.57421875" style="0" customWidth="1"/>
    <col min="7" max="7" width="14.140625" style="1" customWidth="1"/>
    <col min="8" max="8" width="9.7109375" style="2" customWidth="1"/>
    <col min="9" max="9" width="10.8515625" style="2" customWidth="1"/>
    <col min="10" max="10" width="9.7109375" style="13" bestFit="1" customWidth="1"/>
  </cols>
  <sheetData>
    <row r="1" spans="1:8" ht="18">
      <c r="A1" s="341" t="s">
        <v>181</v>
      </c>
      <c r="B1" s="341"/>
      <c r="C1" s="341"/>
      <c r="D1" s="341"/>
      <c r="E1" s="341"/>
      <c r="F1" s="341"/>
      <c r="G1" s="341"/>
      <c r="H1" s="341"/>
    </row>
    <row r="2" ht="15.75">
      <c r="B2" s="9"/>
    </row>
    <row r="3" spans="1:4" ht="15.75" customHeight="1">
      <c r="A3" s="1" t="s">
        <v>283</v>
      </c>
      <c r="C3" s="10"/>
      <c r="D3" t="s">
        <v>284</v>
      </c>
    </row>
    <row r="4" spans="1:5" ht="15.75" customHeight="1">
      <c r="A4" s="1" t="s">
        <v>186</v>
      </c>
      <c r="C4" t="s">
        <v>285</v>
      </c>
      <c r="E4" t="s">
        <v>396</v>
      </c>
    </row>
    <row r="5" spans="1:4" ht="16.5" customHeight="1">
      <c r="A5" s="1" t="s">
        <v>184</v>
      </c>
      <c r="B5" s="340">
        <v>150000</v>
      </c>
      <c r="C5" s="340"/>
      <c r="D5" s="28"/>
    </row>
    <row r="6" spans="2:9" ht="16.5" customHeight="1">
      <c r="B6" s="10"/>
      <c r="C6" s="10"/>
      <c r="D6" s="28"/>
      <c r="I6" s="179">
        <f>1.089+0.25</f>
        <v>1.339</v>
      </c>
    </row>
    <row r="7" spans="1:10" ht="12.75">
      <c r="A7" s="4" t="s">
        <v>2</v>
      </c>
      <c r="B7" s="6" t="s">
        <v>8</v>
      </c>
      <c r="C7" s="19" t="s">
        <v>4</v>
      </c>
      <c r="D7" s="5" t="s">
        <v>3</v>
      </c>
      <c r="E7" s="5" t="s">
        <v>1</v>
      </c>
      <c r="F7" s="6" t="s">
        <v>7</v>
      </c>
      <c r="G7" s="20" t="s">
        <v>6</v>
      </c>
      <c r="H7" s="6" t="s">
        <v>9</v>
      </c>
      <c r="I7" s="6" t="s">
        <v>183</v>
      </c>
      <c r="J7" s="342" t="s">
        <v>286</v>
      </c>
    </row>
    <row r="8" spans="1:10" ht="12.75">
      <c r="A8" s="3"/>
      <c r="B8" s="7"/>
      <c r="C8" s="21" t="s">
        <v>0</v>
      </c>
      <c r="D8" s="3"/>
      <c r="E8" s="3"/>
      <c r="F8" s="7" t="s">
        <v>185</v>
      </c>
      <c r="G8" s="22" t="s">
        <v>5</v>
      </c>
      <c r="H8" s="7"/>
      <c r="I8" s="180">
        <v>0.25</v>
      </c>
      <c r="J8" s="343"/>
    </row>
    <row r="9" spans="1:10" ht="12.75">
      <c r="A9" s="11">
        <f>+B5</f>
        <v>150000</v>
      </c>
      <c r="B9" s="8">
        <v>31</v>
      </c>
      <c r="C9" s="18">
        <f>I9/365*B9/100</f>
        <v>0.0011372328767123288</v>
      </c>
      <c r="D9" s="11">
        <f aca="true" t="shared" si="0" ref="D9:D40">A9*C9</f>
        <v>170.58493150684933</v>
      </c>
      <c r="E9" s="11"/>
      <c r="F9" s="11">
        <f aca="true" t="shared" si="1" ref="F9:F40">+D9+E9</f>
        <v>170.58493150684933</v>
      </c>
      <c r="G9" s="16"/>
      <c r="H9" s="23">
        <v>39600</v>
      </c>
      <c r="I9" s="179">
        <f>1.089+0.25</f>
        <v>1.339</v>
      </c>
      <c r="J9" s="11">
        <v>6</v>
      </c>
    </row>
    <row r="10" spans="1:10" ht="12.75">
      <c r="A10" s="11">
        <f aca="true" t="shared" si="2" ref="A10:A41">+A9-E9</f>
        <v>150000</v>
      </c>
      <c r="B10" s="12">
        <f aca="true" t="shared" si="3" ref="B10:B41">+H11-H10</f>
        <v>31</v>
      </c>
      <c r="C10" s="18">
        <f aca="true" t="shared" si="4" ref="C10:C40">I10/365*B10/100</f>
        <v>0.0011372328767123288</v>
      </c>
      <c r="D10" s="11">
        <f t="shared" si="0"/>
        <v>170.58493150684933</v>
      </c>
      <c r="E10" s="11"/>
      <c r="F10" s="11">
        <f t="shared" si="1"/>
        <v>170.58493150684933</v>
      </c>
      <c r="G10" s="16"/>
      <c r="H10" s="23">
        <v>39630</v>
      </c>
      <c r="I10" s="179">
        <f aca="true" t="shared" si="5" ref="I10:I52">+I9</f>
        <v>1.339</v>
      </c>
      <c r="J10" s="11">
        <f aca="true" t="shared" si="6" ref="J10:J41">+J9</f>
        <v>6</v>
      </c>
    </row>
    <row r="11" spans="1:10" ht="12.75">
      <c r="A11" s="11">
        <f t="shared" si="2"/>
        <v>150000</v>
      </c>
      <c r="B11" s="12">
        <f t="shared" si="3"/>
        <v>31</v>
      </c>
      <c r="C11" s="18">
        <f t="shared" si="4"/>
        <v>0.0011372328767123288</v>
      </c>
      <c r="D11" s="11">
        <f t="shared" si="0"/>
        <v>170.58493150684933</v>
      </c>
      <c r="E11" s="11"/>
      <c r="F11" s="11">
        <f t="shared" si="1"/>
        <v>170.58493150684933</v>
      </c>
      <c r="G11" s="16"/>
      <c r="H11" s="23">
        <v>39661</v>
      </c>
      <c r="I11" s="179">
        <f t="shared" si="5"/>
        <v>1.339</v>
      </c>
      <c r="J11" s="11">
        <f t="shared" si="6"/>
        <v>6</v>
      </c>
    </row>
    <row r="12" spans="1:10" ht="12.75">
      <c r="A12" s="11">
        <f t="shared" si="2"/>
        <v>150000</v>
      </c>
      <c r="B12" s="12">
        <f t="shared" si="3"/>
        <v>30</v>
      </c>
      <c r="C12" s="18">
        <f t="shared" si="4"/>
        <v>0.0011005479452054793</v>
      </c>
      <c r="D12" s="11">
        <f t="shared" si="0"/>
        <v>165.0821917808219</v>
      </c>
      <c r="E12" s="11"/>
      <c r="F12" s="11">
        <f t="shared" si="1"/>
        <v>165.0821917808219</v>
      </c>
      <c r="G12" s="16"/>
      <c r="H12" s="23">
        <v>39692</v>
      </c>
      <c r="I12" s="179">
        <f t="shared" si="5"/>
        <v>1.339</v>
      </c>
      <c r="J12" s="11">
        <f t="shared" si="6"/>
        <v>6</v>
      </c>
    </row>
    <row r="13" spans="1:10" ht="12.75">
      <c r="A13" s="11">
        <f t="shared" si="2"/>
        <v>150000</v>
      </c>
      <c r="B13" s="12">
        <f t="shared" si="3"/>
        <v>31</v>
      </c>
      <c r="C13" s="18">
        <f t="shared" si="4"/>
        <v>0.0011372328767123288</v>
      </c>
      <c r="D13" s="11">
        <f t="shared" si="0"/>
        <v>170.58493150684933</v>
      </c>
      <c r="E13" s="11"/>
      <c r="F13" s="11">
        <f t="shared" si="1"/>
        <v>170.58493150684933</v>
      </c>
      <c r="G13" s="17"/>
      <c r="H13" s="23">
        <v>39722</v>
      </c>
      <c r="I13" s="179">
        <f t="shared" si="5"/>
        <v>1.339</v>
      </c>
      <c r="J13" s="11">
        <f t="shared" si="6"/>
        <v>6</v>
      </c>
    </row>
    <row r="14" spans="1:10" ht="12.75">
      <c r="A14" s="11">
        <f t="shared" si="2"/>
        <v>150000</v>
      </c>
      <c r="B14" s="12">
        <f t="shared" si="3"/>
        <v>30</v>
      </c>
      <c r="C14" s="18">
        <f t="shared" si="4"/>
        <v>0.0011005479452054793</v>
      </c>
      <c r="D14" s="11">
        <f t="shared" si="0"/>
        <v>165.0821917808219</v>
      </c>
      <c r="E14" s="11"/>
      <c r="F14" s="11">
        <f t="shared" si="1"/>
        <v>165.0821917808219</v>
      </c>
      <c r="G14" s="16"/>
      <c r="H14" s="23">
        <v>39753</v>
      </c>
      <c r="I14" s="179">
        <f t="shared" si="5"/>
        <v>1.339</v>
      </c>
      <c r="J14" s="11">
        <f t="shared" si="6"/>
        <v>6</v>
      </c>
    </row>
    <row r="15" spans="1:10" ht="12.75">
      <c r="A15" s="11">
        <f t="shared" si="2"/>
        <v>150000</v>
      </c>
      <c r="B15" s="12">
        <f t="shared" si="3"/>
        <v>31</v>
      </c>
      <c r="C15" s="18">
        <f t="shared" si="4"/>
        <v>0.0011372328767123288</v>
      </c>
      <c r="D15" s="11">
        <f t="shared" si="0"/>
        <v>170.58493150684933</v>
      </c>
      <c r="E15" s="11"/>
      <c r="F15" s="11">
        <f t="shared" si="1"/>
        <v>170.58493150684933</v>
      </c>
      <c r="G15" s="16">
        <f>SUM(F8:F15)</f>
        <v>1183.0890410958905</v>
      </c>
      <c r="H15" s="23">
        <v>39783</v>
      </c>
      <c r="I15" s="179">
        <f t="shared" si="5"/>
        <v>1.339</v>
      </c>
      <c r="J15" s="11">
        <f t="shared" si="6"/>
        <v>6</v>
      </c>
    </row>
    <row r="16" spans="1:10" ht="12.75">
      <c r="A16" s="11">
        <f t="shared" si="2"/>
        <v>150000</v>
      </c>
      <c r="B16" s="12">
        <f t="shared" si="3"/>
        <v>31</v>
      </c>
      <c r="C16" s="18">
        <f t="shared" si="4"/>
        <v>0.0011372328767123288</v>
      </c>
      <c r="D16" s="11">
        <f t="shared" si="0"/>
        <v>170.58493150684933</v>
      </c>
      <c r="E16" s="11"/>
      <c r="F16" s="11">
        <f t="shared" si="1"/>
        <v>170.58493150684933</v>
      </c>
      <c r="G16" s="17"/>
      <c r="H16" s="23">
        <v>39814</v>
      </c>
      <c r="I16" s="179">
        <f t="shared" si="5"/>
        <v>1.339</v>
      </c>
      <c r="J16" s="11">
        <f t="shared" si="6"/>
        <v>6</v>
      </c>
    </row>
    <row r="17" spans="1:10" ht="12.75">
      <c r="A17" s="11">
        <f t="shared" si="2"/>
        <v>150000</v>
      </c>
      <c r="B17" s="12">
        <f t="shared" si="3"/>
        <v>28</v>
      </c>
      <c r="C17" s="18">
        <f t="shared" si="4"/>
        <v>0.0010271780821917806</v>
      </c>
      <c r="D17" s="11">
        <f t="shared" si="0"/>
        <v>154.0767123287671</v>
      </c>
      <c r="E17" s="11"/>
      <c r="F17" s="11">
        <f t="shared" si="1"/>
        <v>154.0767123287671</v>
      </c>
      <c r="G17" s="17"/>
      <c r="H17" s="23">
        <v>39845</v>
      </c>
      <c r="I17" s="179">
        <f t="shared" si="5"/>
        <v>1.339</v>
      </c>
      <c r="J17" s="11">
        <f t="shared" si="6"/>
        <v>6</v>
      </c>
    </row>
    <row r="18" spans="1:10" ht="12.75">
      <c r="A18" s="11">
        <f t="shared" si="2"/>
        <v>150000</v>
      </c>
      <c r="B18" s="12">
        <f t="shared" si="3"/>
        <v>31</v>
      </c>
      <c r="C18" s="18">
        <f t="shared" si="4"/>
        <v>0.0011372328767123288</v>
      </c>
      <c r="D18" s="11">
        <f t="shared" si="0"/>
        <v>170.58493150684933</v>
      </c>
      <c r="E18" s="11"/>
      <c r="F18" s="11">
        <f t="shared" si="1"/>
        <v>170.58493150684933</v>
      </c>
      <c r="G18" s="17"/>
      <c r="H18" s="23">
        <v>39873</v>
      </c>
      <c r="I18" s="179">
        <f t="shared" si="5"/>
        <v>1.339</v>
      </c>
      <c r="J18" s="11">
        <f t="shared" si="6"/>
        <v>6</v>
      </c>
    </row>
    <row r="19" spans="1:10" ht="12.75">
      <c r="A19" s="11">
        <f t="shared" si="2"/>
        <v>150000</v>
      </c>
      <c r="B19" s="12">
        <f t="shared" si="3"/>
        <v>30</v>
      </c>
      <c r="C19" s="18">
        <f t="shared" si="4"/>
        <v>0.0011005479452054793</v>
      </c>
      <c r="D19" s="11">
        <f t="shared" si="0"/>
        <v>165.0821917808219</v>
      </c>
      <c r="E19" s="11"/>
      <c r="F19" s="11">
        <f t="shared" si="1"/>
        <v>165.0821917808219</v>
      </c>
      <c r="G19" s="17"/>
      <c r="H19" s="23">
        <v>39904</v>
      </c>
      <c r="I19" s="179">
        <f t="shared" si="5"/>
        <v>1.339</v>
      </c>
      <c r="J19" s="11">
        <f t="shared" si="6"/>
        <v>6</v>
      </c>
    </row>
    <row r="20" spans="1:10" ht="12.75">
      <c r="A20" s="11">
        <f t="shared" si="2"/>
        <v>150000</v>
      </c>
      <c r="B20" s="12">
        <f t="shared" si="3"/>
        <v>31</v>
      </c>
      <c r="C20" s="18">
        <f t="shared" si="4"/>
        <v>0.0011372328767123288</v>
      </c>
      <c r="D20" s="11">
        <f t="shared" si="0"/>
        <v>170.58493150684933</v>
      </c>
      <c r="E20" s="11"/>
      <c r="F20" s="11">
        <f t="shared" si="1"/>
        <v>170.58493150684933</v>
      </c>
      <c r="G20" s="16"/>
      <c r="H20" s="23">
        <v>39934</v>
      </c>
      <c r="I20" s="179">
        <f t="shared" si="5"/>
        <v>1.339</v>
      </c>
      <c r="J20" s="11">
        <f t="shared" si="6"/>
        <v>6</v>
      </c>
    </row>
    <row r="21" spans="1:10" ht="12.75">
      <c r="A21" s="11">
        <f t="shared" si="2"/>
        <v>150000</v>
      </c>
      <c r="B21" s="12">
        <f t="shared" si="3"/>
        <v>30</v>
      </c>
      <c r="C21" s="18">
        <f t="shared" si="4"/>
        <v>0.0011005479452054793</v>
      </c>
      <c r="D21" s="11">
        <f t="shared" si="0"/>
        <v>165.0821917808219</v>
      </c>
      <c r="E21" s="11">
        <v>1250</v>
      </c>
      <c r="F21" s="11">
        <f t="shared" si="1"/>
        <v>1415.0821917808219</v>
      </c>
      <c r="G21" s="16"/>
      <c r="H21" s="23">
        <v>39965</v>
      </c>
      <c r="I21" s="179">
        <f t="shared" si="5"/>
        <v>1.339</v>
      </c>
      <c r="J21" s="11">
        <f t="shared" si="6"/>
        <v>6</v>
      </c>
    </row>
    <row r="22" spans="1:10" ht="12.75">
      <c r="A22" s="11">
        <f t="shared" si="2"/>
        <v>148750</v>
      </c>
      <c r="B22" s="12">
        <f t="shared" si="3"/>
        <v>31</v>
      </c>
      <c r="C22" s="18">
        <f t="shared" si="4"/>
        <v>0.0011372328767123288</v>
      </c>
      <c r="D22" s="11">
        <f t="shared" si="0"/>
        <v>169.1633904109589</v>
      </c>
      <c r="E22" s="11">
        <f aca="true" t="shared" si="7" ref="E22:E41">+E21</f>
        <v>1250</v>
      </c>
      <c r="F22" s="11">
        <f t="shared" si="1"/>
        <v>1419.163390410959</v>
      </c>
      <c r="G22" s="16"/>
      <c r="H22" s="23">
        <v>39995</v>
      </c>
      <c r="I22" s="179">
        <f t="shared" si="5"/>
        <v>1.339</v>
      </c>
      <c r="J22" s="11">
        <f t="shared" si="6"/>
        <v>6</v>
      </c>
    </row>
    <row r="23" spans="1:10" ht="12.75">
      <c r="A23" s="11">
        <f t="shared" si="2"/>
        <v>147500</v>
      </c>
      <c r="B23" s="12">
        <f t="shared" si="3"/>
        <v>31</v>
      </c>
      <c r="C23" s="18">
        <f t="shared" si="4"/>
        <v>0.0011372328767123288</v>
      </c>
      <c r="D23" s="11">
        <f t="shared" si="0"/>
        <v>167.7418493150685</v>
      </c>
      <c r="E23" s="11">
        <f t="shared" si="7"/>
        <v>1250</v>
      </c>
      <c r="F23" s="11">
        <f t="shared" si="1"/>
        <v>1417.7418493150685</v>
      </c>
      <c r="G23" s="16"/>
      <c r="H23" s="23">
        <v>40026</v>
      </c>
      <c r="I23" s="179">
        <f t="shared" si="5"/>
        <v>1.339</v>
      </c>
      <c r="J23" s="11">
        <f t="shared" si="6"/>
        <v>6</v>
      </c>
    </row>
    <row r="24" spans="1:10" ht="12.75">
      <c r="A24" s="11">
        <f t="shared" si="2"/>
        <v>146250</v>
      </c>
      <c r="B24" s="12">
        <f t="shared" si="3"/>
        <v>30</v>
      </c>
      <c r="C24" s="18">
        <f t="shared" si="4"/>
        <v>0.0011005479452054793</v>
      </c>
      <c r="D24" s="11">
        <f t="shared" si="0"/>
        <v>160.95513698630134</v>
      </c>
      <c r="E24" s="11">
        <f t="shared" si="7"/>
        <v>1250</v>
      </c>
      <c r="F24" s="11">
        <f t="shared" si="1"/>
        <v>1410.9551369863013</v>
      </c>
      <c r="G24" s="17"/>
      <c r="H24" s="23">
        <v>40057</v>
      </c>
      <c r="I24" s="179">
        <f t="shared" si="5"/>
        <v>1.339</v>
      </c>
      <c r="J24" s="11">
        <f t="shared" si="6"/>
        <v>6</v>
      </c>
    </row>
    <row r="25" spans="1:10" ht="12.75">
      <c r="A25" s="11">
        <f t="shared" si="2"/>
        <v>145000</v>
      </c>
      <c r="B25" s="12">
        <f t="shared" si="3"/>
        <v>31</v>
      </c>
      <c r="C25" s="18">
        <f t="shared" si="4"/>
        <v>0.0011372328767123288</v>
      </c>
      <c r="D25" s="11">
        <f t="shared" si="0"/>
        <v>164.89876712328768</v>
      </c>
      <c r="E25" s="11">
        <f t="shared" si="7"/>
        <v>1250</v>
      </c>
      <c r="F25" s="11">
        <f t="shared" si="1"/>
        <v>1414.8987671232876</v>
      </c>
      <c r="G25" s="16"/>
      <c r="H25" s="23">
        <v>40087</v>
      </c>
      <c r="I25" s="179">
        <f t="shared" si="5"/>
        <v>1.339</v>
      </c>
      <c r="J25" s="11">
        <f t="shared" si="6"/>
        <v>6</v>
      </c>
    </row>
    <row r="26" spans="1:10" ht="12.75">
      <c r="A26" s="11">
        <f t="shared" si="2"/>
        <v>143750</v>
      </c>
      <c r="B26" s="12">
        <f t="shared" si="3"/>
        <v>30</v>
      </c>
      <c r="C26" s="18">
        <f t="shared" si="4"/>
        <v>0.0011005479452054793</v>
      </c>
      <c r="D26" s="11">
        <f t="shared" si="0"/>
        <v>158.20376712328766</v>
      </c>
      <c r="E26" s="11">
        <f t="shared" si="7"/>
        <v>1250</v>
      </c>
      <c r="F26" s="11">
        <f t="shared" si="1"/>
        <v>1408.2037671232877</v>
      </c>
      <c r="G26" s="17"/>
      <c r="H26" s="23">
        <v>40118</v>
      </c>
      <c r="I26" s="179">
        <f t="shared" si="5"/>
        <v>1.339</v>
      </c>
      <c r="J26" s="11">
        <f t="shared" si="6"/>
        <v>6</v>
      </c>
    </row>
    <row r="27" spans="1:10" ht="12.75">
      <c r="A27" s="11">
        <f t="shared" si="2"/>
        <v>142500</v>
      </c>
      <c r="B27" s="12">
        <f t="shared" si="3"/>
        <v>31</v>
      </c>
      <c r="C27" s="18">
        <f t="shared" si="4"/>
        <v>0.0011372328767123288</v>
      </c>
      <c r="D27" s="11">
        <f t="shared" si="0"/>
        <v>162.05568493150685</v>
      </c>
      <c r="E27" s="11">
        <f t="shared" si="7"/>
        <v>1250</v>
      </c>
      <c r="F27" s="11">
        <f t="shared" si="1"/>
        <v>1412.055684931507</v>
      </c>
      <c r="G27" s="16">
        <f>SUM(F16:F27)</f>
        <v>10729.01448630137</v>
      </c>
      <c r="H27" s="23">
        <v>40148</v>
      </c>
      <c r="I27" s="179">
        <f t="shared" si="5"/>
        <v>1.339</v>
      </c>
      <c r="J27" s="11">
        <f t="shared" si="6"/>
        <v>6</v>
      </c>
    </row>
    <row r="28" spans="1:10" ht="12.75">
      <c r="A28" s="11">
        <f t="shared" si="2"/>
        <v>141250</v>
      </c>
      <c r="B28" s="12">
        <f t="shared" si="3"/>
        <v>31</v>
      </c>
      <c r="C28" s="18">
        <f t="shared" si="4"/>
        <v>0.0011372328767123288</v>
      </c>
      <c r="D28" s="11">
        <f t="shared" si="0"/>
        <v>160.63414383561644</v>
      </c>
      <c r="E28" s="11">
        <f t="shared" si="7"/>
        <v>1250</v>
      </c>
      <c r="F28" s="11">
        <f t="shared" si="1"/>
        <v>1410.6341438356164</v>
      </c>
      <c r="G28" s="17"/>
      <c r="H28" s="23">
        <v>40179</v>
      </c>
      <c r="I28" s="179">
        <f t="shared" si="5"/>
        <v>1.339</v>
      </c>
      <c r="J28" s="11">
        <f t="shared" si="6"/>
        <v>6</v>
      </c>
    </row>
    <row r="29" spans="1:10" ht="12.75">
      <c r="A29" s="11">
        <f t="shared" si="2"/>
        <v>140000</v>
      </c>
      <c r="B29" s="12">
        <f t="shared" si="3"/>
        <v>28</v>
      </c>
      <c r="C29" s="18">
        <f t="shared" si="4"/>
        <v>0.0010271780821917806</v>
      </c>
      <c r="D29" s="11">
        <f t="shared" si="0"/>
        <v>143.8049315068493</v>
      </c>
      <c r="E29" s="11">
        <f t="shared" si="7"/>
        <v>1250</v>
      </c>
      <c r="F29" s="11">
        <f t="shared" si="1"/>
        <v>1393.8049315068492</v>
      </c>
      <c r="G29" s="17"/>
      <c r="H29" s="23">
        <v>40210</v>
      </c>
      <c r="I29" s="179">
        <f t="shared" si="5"/>
        <v>1.339</v>
      </c>
      <c r="J29" s="11">
        <f t="shared" si="6"/>
        <v>6</v>
      </c>
    </row>
    <row r="30" spans="1:10" ht="12.75">
      <c r="A30" s="11">
        <f t="shared" si="2"/>
        <v>138750</v>
      </c>
      <c r="B30" s="12">
        <f t="shared" si="3"/>
        <v>31</v>
      </c>
      <c r="C30" s="18">
        <f t="shared" si="4"/>
        <v>0.0011372328767123288</v>
      </c>
      <c r="D30" s="11">
        <f t="shared" si="0"/>
        <v>157.7910616438356</v>
      </c>
      <c r="E30" s="11">
        <f t="shared" si="7"/>
        <v>1250</v>
      </c>
      <c r="F30" s="11">
        <f t="shared" si="1"/>
        <v>1407.7910616438355</v>
      </c>
      <c r="G30" s="17"/>
      <c r="H30" s="23">
        <v>40238</v>
      </c>
      <c r="I30" s="179">
        <f t="shared" si="5"/>
        <v>1.339</v>
      </c>
      <c r="J30" s="11">
        <f t="shared" si="6"/>
        <v>6</v>
      </c>
    </row>
    <row r="31" spans="1:10" ht="12.75">
      <c r="A31" s="11">
        <f t="shared" si="2"/>
        <v>137500</v>
      </c>
      <c r="B31" s="12">
        <f t="shared" si="3"/>
        <v>30</v>
      </c>
      <c r="C31" s="18">
        <f t="shared" si="4"/>
        <v>0.0011005479452054793</v>
      </c>
      <c r="D31" s="11">
        <f t="shared" si="0"/>
        <v>151.3253424657534</v>
      </c>
      <c r="E31" s="11">
        <f t="shared" si="7"/>
        <v>1250</v>
      </c>
      <c r="F31" s="11">
        <f t="shared" si="1"/>
        <v>1401.3253424657535</v>
      </c>
      <c r="G31" s="17"/>
      <c r="H31" s="23">
        <v>40269</v>
      </c>
      <c r="I31" s="179">
        <f t="shared" si="5"/>
        <v>1.339</v>
      </c>
      <c r="J31" s="11">
        <f t="shared" si="6"/>
        <v>6</v>
      </c>
    </row>
    <row r="32" spans="1:10" ht="12.75">
      <c r="A32" s="11">
        <f t="shared" si="2"/>
        <v>136250</v>
      </c>
      <c r="B32" s="12">
        <f t="shared" si="3"/>
        <v>31</v>
      </c>
      <c r="C32" s="18">
        <f t="shared" si="4"/>
        <v>0.0011372328767123288</v>
      </c>
      <c r="D32" s="11">
        <f t="shared" si="0"/>
        <v>154.9479794520548</v>
      </c>
      <c r="E32" s="11">
        <f t="shared" si="7"/>
        <v>1250</v>
      </c>
      <c r="F32" s="11">
        <f t="shared" si="1"/>
        <v>1404.9479794520548</v>
      </c>
      <c r="G32" s="16"/>
      <c r="H32" s="23">
        <v>40299</v>
      </c>
      <c r="I32" s="179">
        <f t="shared" si="5"/>
        <v>1.339</v>
      </c>
      <c r="J32" s="11">
        <f t="shared" si="6"/>
        <v>6</v>
      </c>
    </row>
    <row r="33" spans="1:10" ht="12.75">
      <c r="A33" s="11">
        <f t="shared" si="2"/>
        <v>135000</v>
      </c>
      <c r="B33" s="12">
        <f t="shared" si="3"/>
        <v>30</v>
      </c>
      <c r="C33" s="18">
        <f t="shared" si="4"/>
        <v>0.0011005479452054793</v>
      </c>
      <c r="D33" s="11">
        <f t="shared" si="0"/>
        <v>148.5739726027397</v>
      </c>
      <c r="E33" s="11">
        <f t="shared" si="7"/>
        <v>1250</v>
      </c>
      <c r="F33" s="11">
        <f t="shared" si="1"/>
        <v>1398.5739726027398</v>
      </c>
      <c r="G33" s="16"/>
      <c r="H33" s="23">
        <v>40330</v>
      </c>
      <c r="I33" s="179">
        <f t="shared" si="5"/>
        <v>1.339</v>
      </c>
      <c r="J33" s="11">
        <f t="shared" si="6"/>
        <v>6</v>
      </c>
    </row>
    <row r="34" spans="1:10" ht="12.75">
      <c r="A34" s="11">
        <f t="shared" si="2"/>
        <v>133750</v>
      </c>
      <c r="B34" s="12">
        <f t="shared" si="3"/>
        <v>31</v>
      </c>
      <c r="C34" s="18">
        <f t="shared" si="4"/>
        <v>0.0011372328767123288</v>
      </c>
      <c r="D34" s="11">
        <f t="shared" si="0"/>
        <v>152.104897260274</v>
      </c>
      <c r="E34" s="11">
        <f t="shared" si="7"/>
        <v>1250</v>
      </c>
      <c r="F34" s="11">
        <f t="shared" si="1"/>
        <v>1402.104897260274</v>
      </c>
      <c r="G34" s="16"/>
      <c r="H34" s="23">
        <v>40360</v>
      </c>
      <c r="I34" s="179">
        <f t="shared" si="5"/>
        <v>1.339</v>
      </c>
      <c r="J34" s="11">
        <f t="shared" si="6"/>
        <v>6</v>
      </c>
    </row>
    <row r="35" spans="1:10" ht="12.75">
      <c r="A35" s="11">
        <f t="shared" si="2"/>
        <v>132500</v>
      </c>
      <c r="B35" s="12">
        <f t="shared" si="3"/>
        <v>31</v>
      </c>
      <c r="C35" s="18">
        <f t="shared" si="4"/>
        <v>0.0011372328767123288</v>
      </c>
      <c r="D35" s="11">
        <f t="shared" si="0"/>
        <v>150.68335616438355</v>
      </c>
      <c r="E35" s="11">
        <f t="shared" si="7"/>
        <v>1250</v>
      </c>
      <c r="F35" s="11">
        <f t="shared" si="1"/>
        <v>1400.6833561643834</v>
      </c>
      <c r="G35" s="16"/>
      <c r="H35" s="23">
        <v>40391</v>
      </c>
      <c r="I35" s="179">
        <f t="shared" si="5"/>
        <v>1.339</v>
      </c>
      <c r="J35" s="11">
        <f t="shared" si="6"/>
        <v>6</v>
      </c>
    </row>
    <row r="36" spans="1:10" ht="12.75">
      <c r="A36" s="11">
        <f t="shared" si="2"/>
        <v>131250</v>
      </c>
      <c r="B36" s="12">
        <f t="shared" si="3"/>
        <v>30</v>
      </c>
      <c r="C36" s="18">
        <f t="shared" si="4"/>
        <v>0.0011005479452054793</v>
      </c>
      <c r="D36" s="11">
        <f t="shared" si="0"/>
        <v>144.44691780821915</v>
      </c>
      <c r="E36" s="11">
        <f t="shared" si="7"/>
        <v>1250</v>
      </c>
      <c r="F36" s="11">
        <f t="shared" si="1"/>
        <v>1394.446917808219</v>
      </c>
      <c r="G36" s="17"/>
      <c r="H36" s="23">
        <v>40422</v>
      </c>
      <c r="I36" s="179">
        <f t="shared" si="5"/>
        <v>1.339</v>
      </c>
      <c r="J36" s="11">
        <f t="shared" si="6"/>
        <v>6</v>
      </c>
    </row>
    <row r="37" spans="1:10" ht="12.75">
      <c r="A37" s="11">
        <f t="shared" si="2"/>
        <v>130000</v>
      </c>
      <c r="B37" s="12">
        <f t="shared" si="3"/>
        <v>31</v>
      </c>
      <c r="C37" s="18">
        <f t="shared" si="4"/>
        <v>0.0011372328767123288</v>
      </c>
      <c r="D37" s="11">
        <f t="shared" si="0"/>
        <v>147.84027397260274</v>
      </c>
      <c r="E37" s="11">
        <f t="shared" si="7"/>
        <v>1250</v>
      </c>
      <c r="F37" s="11">
        <f t="shared" si="1"/>
        <v>1397.8402739726027</v>
      </c>
      <c r="G37" s="16"/>
      <c r="H37" s="23">
        <v>40452</v>
      </c>
      <c r="I37" s="179">
        <f t="shared" si="5"/>
        <v>1.339</v>
      </c>
      <c r="J37" s="11">
        <f t="shared" si="6"/>
        <v>6</v>
      </c>
    </row>
    <row r="38" spans="1:10" ht="12.75">
      <c r="A38" s="11">
        <f t="shared" si="2"/>
        <v>128750</v>
      </c>
      <c r="B38" s="12">
        <f t="shared" si="3"/>
        <v>30</v>
      </c>
      <c r="C38" s="18">
        <f t="shared" si="4"/>
        <v>0.0011005479452054793</v>
      </c>
      <c r="D38" s="11">
        <f t="shared" si="0"/>
        <v>141.69554794520548</v>
      </c>
      <c r="E38" s="11">
        <f t="shared" si="7"/>
        <v>1250</v>
      </c>
      <c r="F38" s="11">
        <f t="shared" si="1"/>
        <v>1391.6955479452054</v>
      </c>
      <c r="G38" s="17"/>
      <c r="H38" s="23">
        <v>40483</v>
      </c>
      <c r="I38" s="179">
        <f t="shared" si="5"/>
        <v>1.339</v>
      </c>
      <c r="J38" s="11">
        <f t="shared" si="6"/>
        <v>6</v>
      </c>
    </row>
    <row r="39" spans="1:10" ht="12.75">
      <c r="A39" s="11">
        <f t="shared" si="2"/>
        <v>127500</v>
      </c>
      <c r="B39" s="12">
        <f t="shared" si="3"/>
        <v>31</v>
      </c>
      <c r="C39" s="18">
        <f t="shared" si="4"/>
        <v>0.0011372328767123288</v>
      </c>
      <c r="D39" s="11">
        <f t="shared" si="0"/>
        <v>144.9971917808219</v>
      </c>
      <c r="E39" s="11">
        <f t="shared" si="7"/>
        <v>1250</v>
      </c>
      <c r="F39" s="11">
        <f t="shared" si="1"/>
        <v>1394.9971917808218</v>
      </c>
      <c r="G39" s="16">
        <f>SUM(F28:F39)</f>
        <v>16798.845616438357</v>
      </c>
      <c r="H39" s="23">
        <v>40513</v>
      </c>
      <c r="I39" s="179">
        <f t="shared" si="5"/>
        <v>1.339</v>
      </c>
      <c r="J39" s="11">
        <f t="shared" si="6"/>
        <v>6</v>
      </c>
    </row>
    <row r="40" spans="1:10" ht="12.75">
      <c r="A40" s="11">
        <f t="shared" si="2"/>
        <v>126250</v>
      </c>
      <c r="B40" s="12">
        <f t="shared" si="3"/>
        <v>31</v>
      </c>
      <c r="C40" s="18">
        <f t="shared" si="4"/>
        <v>0.0011372328767123288</v>
      </c>
      <c r="D40" s="11">
        <f t="shared" si="0"/>
        <v>143.5756506849315</v>
      </c>
      <c r="E40" s="11">
        <f t="shared" si="7"/>
        <v>1250</v>
      </c>
      <c r="F40" s="11">
        <f t="shared" si="1"/>
        <v>1393.5756506849316</v>
      </c>
      <c r="G40" s="17"/>
      <c r="H40" s="23">
        <v>40544</v>
      </c>
      <c r="I40" s="179">
        <f t="shared" si="5"/>
        <v>1.339</v>
      </c>
      <c r="J40" s="11">
        <f t="shared" si="6"/>
        <v>6</v>
      </c>
    </row>
    <row r="41" spans="1:10" ht="12.75">
      <c r="A41" s="11">
        <f t="shared" si="2"/>
        <v>125000</v>
      </c>
      <c r="B41" s="12">
        <f t="shared" si="3"/>
        <v>28</v>
      </c>
      <c r="C41" s="18">
        <f aca="true" t="shared" si="8" ref="C41:C72">I41/365*B41/100</f>
        <v>0.0010271780821917806</v>
      </c>
      <c r="D41" s="11">
        <f aca="true" t="shared" si="9" ref="D41:D72">A41*C41</f>
        <v>128.3972602739726</v>
      </c>
      <c r="E41" s="11">
        <f t="shared" si="7"/>
        <v>1250</v>
      </c>
      <c r="F41" s="11">
        <f aca="true" t="shared" si="10" ref="F41:F72">+D41+E41</f>
        <v>1378.3972602739725</v>
      </c>
      <c r="G41" s="17"/>
      <c r="H41" s="23">
        <v>40575</v>
      </c>
      <c r="I41" s="179">
        <f t="shared" si="5"/>
        <v>1.339</v>
      </c>
      <c r="J41" s="11">
        <f t="shared" si="6"/>
        <v>6</v>
      </c>
    </row>
    <row r="42" spans="1:10" ht="12.75">
      <c r="A42" s="11">
        <f aca="true" t="shared" si="11" ref="A42:A73">+A41-E41</f>
        <v>123750</v>
      </c>
      <c r="B42" s="12">
        <f aca="true" t="shared" si="12" ref="B42:B73">+H43-H42</f>
        <v>31</v>
      </c>
      <c r="C42" s="18">
        <f t="shared" si="8"/>
        <v>0.0011372328767123288</v>
      </c>
      <c r="D42" s="11">
        <f t="shared" si="9"/>
        <v>140.7325684931507</v>
      </c>
      <c r="E42" s="11">
        <f aca="true" t="shared" si="13" ref="E42:E73">+E41</f>
        <v>1250</v>
      </c>
      <c r="F42" s="11">
        <f t="shared" si="10"/>
        <v>1390.7325684931507</v>
      </c>
      <c r="G42" s="17"/>
      <c r="H42" s="23">
        <v>40603</v>
      </c>
      <c r="I42" s="179">
        <f t="shared" si="5"/>
        <v>1.339</v>
      </c>
      <c r="J42" s="11">
        <f aca="true" t="shared" si="14" ref="J42:J73">+J41</f>
        <v>6</v>
      </c>
    </row>
    <row r="43" spans="1:10" ht="12.75">
      <c r="A43" s="11">
        <f t="shared" si="11"/>
        <v>122500</v>
      </c>
      <c r="B43" s="12">
        <f t="shared" si="12"/>
        <v>30</v>
      </c>
      <c r="C43" s="18">
        <f t="shared" si="8"/>
        <v>0.001231232876712329</v>
      </c>
      <c r="D43" s="11">
        <f t="shared" si="9"/>
        <v>150.82602739726028</v>
      </c>
      <c r="E43" s="11">
        <f t="shared" si="13"/>
        <v>1250</v>
      </c>
      <c r="F43" s="11">
        <f t="shared" si="10"/>
        <v>1400.8260273972603</v>
      </c>
      <c r="G43" s="17"/>
      <c r="H43" s="23">
        <v>40634</v>
      </c>
      <c r="I43" s="179">
        <v>1.498</v>
      </c>
      <c r="J43" s="11">
        <f t="shared" si="14"/>
        <v>6</v>
      </c>
    </row>
    <row r="44" spans="1:10" ht="12.75">
      <c r="A44" s="11">
        <f t="shared" si="11"/>
        <v>121250</v>
      </c>
      <c r="B44" s="12">
        <f t="shared" si="12"/>
        <v>31</v>
      </c>
      <c r="C44" s="18">
        <f t="shared" si="8"/>
        <v>0.0014302465753424655</v>
      </c>
      <c r="D44" s="11">
        <f t="shared" si="9"/>
        <v>173.41739726027396</v>
      </c>
      <c r="E44" s="11">
        <f t="shared" si="13"/>
        <v>1250</v>
      </c>
      <c r="F44" s="11">
        <f t="shared" si="10"/>
        <v>1423.417397260274</v>
      </c>
      <c r="G44" s="16"/>
      <c r="H44" s="23">
        <v>40664</v>
      </c>
      <c r="I44" s="179">
        <v>1.684</v>
      </c>
      <c r="J44" s="11">
        <f t="shared" si="14"/>
        <v>6</v>
      </c>
    </row>
    <row r="45" spans="1:10" ht="12.75">
      <c r="A45" s="11">
        <f t="shared" si="11"/>
        <v>120000</v>
      </c>
      <c r="B45" s="12">
        <f t="shared" si="12"/>
        <v>30</v>
      </c>
      <c r="C45" s="18">
        <f t="shared" si="8"/>
        <v>0.001384109589041096</v>
      </c>
      <c r="D45" s="11">
        <f t="shared" si="9"/>
        <v>166.09315068493152</v>
      </c>
      <c r="E45" s="11">
        <f t="shared" si="13"/>
        <v>1250</v>
      </c>
      <c r="F45" s="11">
        <f t="shared" si="10"/>
        <v>1416.0931506849315</v>
      </c>
      <c r="G45" s="16"/>
      <c r="H45" s="23">
        <v>40695</v>
      </c>
      <c r="I45" s="179">
        <f t="shared" si="5"/>
        <v>1.684</v>
      </c>
      <c r="J45" s="11">
        <f t="shared" si="14"/>
        <v>6</v>
      </c>
    </row>
    <row r="46" spans="1:10" ht="12.75">
      <c r="A46" s="11">
        <f t="shared" si="11"/>
        <v>118750</v>
      </c>
      <c r="B46" s="12">
        <f t="shared" si="12"/>
        <v>31</v>
      </c>
      <c r="C46" s="18">
        <f t="shared" si="8"/>
        <v>0.0014302465753424655</v>
      </c>
      <c r="D46" s="11">
        <f t="shared" si="9"/>
        <v>169.84178082191778</v>
      </c>
      <c r="E46" s="11">
        <f t="shared" si="13"/>
        <v>1250</v>
      </c>
      <c r="F46" s="11">
        <f t="shared" si="10"/>
        <v>1419.8417808219178</v>
      </c>
      <c r="G46" s="16"/>
      <c r="H46" s="23">
        <v>40725</v>
      </c>
      <c r="I46" s="179">
        <f t="shared" si="5"/>
        <v>1.684</v>
      </c>
      <c r="J46" s="11">
        <f t="shared" si="14"/>
        <v>6</v>
      </c>
    </row>
    <row r="47" spans="1:10" ht="12.75">
      <c r="A47" s="11">
        <f t="shared" si="11"/>
        <v>117500</v>
      </c>
      <c r="B47" s="12">
        <f t="shared" si="12"/>
        <v>31</v>
      </c>
      <c r="C47" s="18">
        <f t="shared" si="8"/>
        <v>0.0014302465753424655</v>
      </c>
      <c r="D47" s="11">
        <f t="shared" si="9"/>
        <v>168.0539726027397</v>
      </c>
      <c r="E47" s="11">
        <f t="shared" si="13"/>
        <v>1250</v>
      </c>
      <c r="F47" s="11">
        <f t="shared" si="10"/>
        <v>1418.0539726027396</v>
      </c>
      <c r="G47" s="16"/>
      <c r="H47" s="23">
        <v>40756</v>
      </c>
      <c r="I47" s="179">
        <f t="shared" si="5"/>
        <v>1.684</v>
      </c>
      <c r="J47" s="11">
        <f t="shared" si="14"/>
        <v>6</v>
      </c>
    </row>
    <row r="48" spans="1:10" ht="12.75">
      <c r="A48" s="11">
        <f t="shared" si="11"/>
        <v>116250</v>
      </c>
      <c r="B48" s="12">
        <f t="shared" si="12"/>
        <v>30</v>
      </c>
      <c r="C48" s="18">
        <f t="shared" si="8"/>
        <v>0.001384109589041096</v>
      </c>
      <c r="D48" s="11">
        <f t="shared" si="9"/>
        <v>160.90273972602742</v>
      </c>
      <c r="E48" s="11">
        <f t="shared" si="13"/>
        <v>1250</v>
      </c>
      <c r="F48" s="11">
        <f t="shared" si="10"/>
        <v>1410.9027397260274</v>
      </c>
      <c r="G48" s="17"/>
      <c r="H48" s="23">
        <v>40787</v>
      </c>
      <c r="I48" s="179">
        <f t="shared" si="5"/>
        <v>1.684</v>
      </c>
      <c r="J48" s="11">
        <f t="shared" si="14"/>
        <v>6</v>
      </c>
    </row>
    <row r="49" spans="1:10" ht="12.75">
      <c r="A49" s="11">
        <f t="shared" si="11"/>
        <v>115000</v>
      </c>
      <c r="B49" s="12">
        <f t="shared" si="12"/>
        <v>31</v>
      </c>
      <c r="C49" s="18">
        <f t="shared" si="8"/>
        <v>0.0014302465753424655</v>
      </c>
      <c r="D49" s="11">
        <f t="shared" si="9"/>
        <v>164.47835616438354</v>
      </c>
      <c r="E49" s="11">
        <f t="shared" si="13"/>
        <v>1250</v>
      </c>
      <c r="F49" s="11">
        <f t="shared" si="10"/>
        <v>1414.4783561643835</v>
      </c>
      <c r="G49" s="16"/>
      <c r="H49" s="23">
        <v>40817</v>
      </c>
      <c r="I49" s="179">
        <f t="shared" si="5"/>
        <v>1.684</v>
      </c>
      <c r="J49" s="11">
        <f t="shared" si="14"/>
        <v>6</v>
      </c>
    </row>
    <row r="50" spans="1:10" ht="12.75">
      <c r="A50" s="11">
        <f t="shared" si="11"/>
        <v>113750</v>
      </c>
      <c r="B50" s="12">
        <f t="shared" si="12"/>
        <v>30</v>
      </c>
      <c r="C50" s="18">
        <f t="shared" si="8"/>
        <v>0.001384109589041096</v>
      </c>
      <c r="D50" s="11">
        <f t="shared" si="9"/>
        <v>157.44246575342467</v>
      </c>
      <c r="E50" s="11">
        <f t="shared" si="13"/>
        <v>1250</v>
      </c>
      <c r="F50" s="11">
        <f t="shared" si="10"/>
        <v>1407.4424657534246</v>
      </c>
      <c r="G50" s="17"/>
      <c r="H50" s="23">
        <v>40848</v>
      </c>
      <c r="I50" s="179">
        <f t="shared" si="5"/>
        <v>1.684</v>
      </c>
      <c r="J50" s="11">
        <f t="shared" si="14"/>
        <v>6</v>
      </c>
    </row>
    <row r="51" spans="1:10" ht="12.75">
      <c r="A51" s="11">
        <f t="shared" si="11"/>
        <v>112500</v>
      </c>
      <c r="B51" s="12">
        <f t="shared" si="12"/>
        <v>31</v>
      </c>
      <c r="C51" s="18">
        <f t="shared" si="8"/>
        <v>0.0014302465753424655</v>
      </c>
      <c r="D51" s="11">
        <f t="shared" si="9"/>
        <v>160.90273972602736</v>
      </c>
      <c r="E51" s="11">
        <f t="shared" si="13"/>
        <v>1250</v>
      </c>
      <c r="F51" s="11">
        <f t="shared" si="10"/>
        <v>1410.9027397260274</v>
      </c>
      <c r="G51" s="16">
        <f>SUM(F40:F51)</f>
        <v>16884.664109589045</v>
      </c>
      <c r="H51" s="23">
        <v>40878</v>
      </c>
      <c r="I51" s="179">
        <f t="shared" si="5"/>
        <v>1.684</v>
      </c>
      <c r="J51" s="11">
        <f t="shared" si="14"/>
        <v>6</v>
      </c>
    </row>
    <row r="52" spans="1:10" ht="12.75">
      <c r="A52" s="11">
        <f t="shared" si="11"/>
        <v>111250</v>
      </c>
      <c r="B52" s="12">
        <f t="shared" si="12"/>
        <v>31</v>
      </c>
      <c r="C52" s="18">
        <f t="shared" si="8"/>
        <v>0.0014302465753424655</v>
      </c>
      <c r="D52" s="11">
        <f t="shared" si="9"/>
        <v>159.1149315068493</v>
      </c>
      <c r="E52" s="11">
        <f t="shared" si="13"/>
        <v>1250</v>
      </c>
      <c r="F52" s="11">
        <f t="shared" si="10"/>
        <v>1409.1149315068492</v>
      </c>
      <c r="G52" s="17"/>
      <c r="H52" s="23">
        <v>40909</v>
      </c>
      <c r="I52" s="179">
        <f t="shared" si="5"/>
        <v>1.684</v>
      </c>
      <c r="J52" s="11">
        <f t="shared" si="14"/>
        <v>6</v>
      </c>
    </row>
    <row r="53" spans="1:10" ht="12.75">
      <c r="A53" s="11">
        <f t="shared" si="11"/>
        <v>110000</v>
      </c>
      <c r="B53" s="12">
        <f t="shared" si="12"/>
        <v>29</v>
      </c>
      <c r="C53" s="18">
        <f t="shared" si="8"/>
        <v>0.001337972602739726</v>
      </c>
      <c r="D53" s="11">
        <f t="shared" si="9"/>
        <v>147.17698630136985</v>
      </c>
      <c r="E53" s="11">
        <f t="shared" si="13"/>
        <v>1250</v>
      </c>
      <c r="F53" s="11">
        <f t="shared" si="10"/>
        <v>1397.1769863013699</v>
      </c>
      <c r="G53" s="17"/>
      <c r="H53" s="23">
        <v>40940</v>
      </c>
      <c r="I53" s="179">
        <f aca="true" t="shared" si="15" ref="I53:I73">+I52</f>
        <v>1.684</v>
      </c>
      <c r="J53" s="11">
        <f t="shared" si="14"/>
        <v>6</v>
      </c>
    </row>
    <row r="54" spans="1:10" ht="12.75">
      <c r="A54" s="11">
        <f t="shared" si="11"/>
        <v>108750</v>
      </c>
      <c r="B54" s="12">
        <f t="shared" si="12"/>
        <v>31</v>
      </c>
      <c r="C54" s="18">
        <f t="shared" si="8"/>
        <v>0.0014302465753424655</v>
      </c>
      <c r="D54" s="11">
        <f t="shared" si="9"/>
        <v>155.53931506849312</v>
      </c>
      <c r="E54" s="11">
        <f t="shared" si="13"/>
        <v>1250</v>
      </c>
      <c r="F54" s="11">
        <f t="shared" si="10"/>
        <v>1405.5393150684931</v>
      </c>
      <c r="G54" s="17"/>
      <c r="H54" s="23">
        <v>40969</v>
      </c>
      <c r="I54" s="179">
        <f t="shared" si="15"/>
        <v>1.684</v>
      </c>
      <c r="J54" s="11">
        <f t="shared" si="14"/>
        <v>6</v>
      </c>
    </row>
    <row r="55" spans="1:10" ht="12.75">
      <c r="A55" s="11">
        <f t="shared" si="11"/>
        <v>107500</v>
      </c>
      <c r="B55" s="12">
        <f t="shared" si="12"/>
        <v>30</v>
      </c>
      <c r="C55" s="18">
        <f t="shared" si="8"/>
        <v>0.001384109589041096</v>
      </c>
      <c r="D55" s="11">
        <f t="shared" si="9"/>
        <v>148.79178082191783</v>
      </c>
      <c r="E55" s="11">
        <f t="shared" si="13"/>
        <v>1250</v>
      </c>
      <c r="F55" s="11">
        <f t="shared" si="10"/>
        <v>1398.7917808219179</v>
      </c>
      <c r="G55" s="17"/>
      <c r="H55" s="23">
        <v>41000</v>
      </c>
      <c r="I55" s="179">
        <f t="shared" si="15"/>
        <v>1.684</v>
      </c>
      <c r="J55" s="11">
        <f t="shared" si="14"/>
        <v>6</v>
      </c>
    </row>
    <row r="56" spans="1:10" ht="12.75">
      <c r="A56" s="11">
        <f t="shared" si="11"/>
        <v>106250</v>
      </c>
      <c r="B56" s="12">
        <f t="shared" si="12"/>
        <v>31</v>
      </c>
      <c r="C56" s="18">
        <f t="shared" si="8"/>
        <v>0.0014302465753424655</v>
      </c>
      <c r="D56" s="11">
        <f t="shared" si="9"/>
        <v>151.96369863013697</v>
      </c>
      <c r="E56" s="11">
        <f t="shared" si="13"/>
        <v>1250</v>
      </c>
      <c r="F56" s="11">
        <f t="shared" si="10"/>
        <v>1401.963698630137</v>
      </c>
      <c r="G56" s="16"/>
      <c r="H56" s="23">
        <v>41030</v>
      </c>
      <c r="I56" s="179">
        <f t="shared" si="15"/>
        <v>1.684</v>
      </c>
      <c r="J56" s="11">
        <f t="shared" si="14"/>
        <v>6</v>
      </c>
    </row>
    <row r="57" spans="1:10" ht="12.75">
      <c r="A57" s="11">
        <f t="shared" si="11"/>
        <v>105000</v>
      </c>
      <c r="B57" s="12">
        <f t="shared" si="12"/>
        <v>30</v>
      </c>
      <c r="C57" s="18">
        <f t="shared" si="8"/>
        <v>0.001384109589041096</v>
      </c>
      <c r="D57" s="11">
        <f t="shared" si="9"/>
        <v>145.33150684931508</v>
      </c>
      <c r="E57" s="11">
        <f t="shared" si="13"/>
        <v>1250</v>
      </c>
      <c r="F57" s="11">
        <f t="shared" si="10"/>
        <v>1395.331506849315</v>
      </c>
      <c r="G57" s="16"/>
      <c r="H57" s="23">
        <v>41061</v>
      </c>
      <c r="I57" s="179">
        <f t="shared" si="15"/>
        <v>1.684</v>
      </c>
      <c r="J57" s="11">
        <f t="shared" si="14"/>
        <v>6</v>
      </c>
    </row>
    <row r="58" spans="1:10" ht="12.75">
      <c r="A58" s="11">
        <f t="shared" si="11"/>
        <v>103750</v>
      </c>
      <c r="B58" s="12">
        <f t="shared" si="12"/>
        <v>31</v>
      </c>
      <c r="C58" s="18">
        <f t="shared" si="8"/>
        <v>0.0014302465753424655</v>
      </c>
      <c r="D58" s="11">
        <f t="shared" si="9"/>
        <v>148.3880821917808</v>
      </c>
      <c r="E58" s="11">
        <f t="shared" si="13"/>
        <v>1250</v>
      </c>
      <c r="F58" s="11">
        <f t="shared" si="10"/>
        <v>1398.3880821917808</v>
      </c>
      <c r="G58" s="16"/>
      <c r="H58" s="23">
        <v>41091</v>
      </c>
      <c r="I58" s="179">
        <f t="shared" si="15"/>
        <v>1.684</v>
      </c>
      <c r="J58" s="11">
        <f t="shared" si="14"/>
        <v>6</v>
      </c>
    </row>
    <row r="59" spans="1:10" ht="12.75">
      <c r="A59" s="11">
        <f t="shared" si="11"/>
        <v>102500</v>
      </c>
      <c r="B59" s="12">
        <f t="shared" si="12"/>
        <v>31</v>
      </c>
      <c r="C59" s="18">
        <f t="shared" si="8"/>
        <v>0.0014302465753424655</v>
      </c>
      <c r="D59" s="11">
        <f t="shared" si="9"/>
        <v>146.6002739726027</v>
      </c>
      <c r="E59" s="11">
        <f t="shared" si="13"/>
        <v>1250</v>
      </c>
      <c r="F59" s="11">
        <f t="shared" si="10"/>
        <v>1396.6002739726027</v>
      </c>
      <c r="G59" s="16"/>
      <c r="H59" s="23">
        <v>41122</v>
      </c>
      <c r="I59" s="179">
        <f t="shared" si="15"/>
        <v>1.684</v>
      </c>
      <c r="J59" s="11">
        <f t="shared" si="14"/>
        <v>6</v>
      </c>
    </row>
    <row r="60" spans="1:10" ht="12.75">
      <c r="A60" s="11">
        <f t="shared" si="11"/>
        <v>101250</v>
      </c>
      <c r="B60" s="12">
        <f t="shared" si="12"/>
        <v>30</v>
      </c>
      <c r="C60" s="18">
        <f t="shared" si="8"/>
        <v>0.001384109589041096</v>
      </c>
      <c r="D60" s="11">
        <f t="shared" si="9"/>
        <v>140.14109589041098</v>
      </c>
      <c r="E60" s="11">
        <f t="shared" si="13"/>
        <v>1250</v>
      </c>
      <c r="F60" s="11">
        <f t="shared" si="10"/>
        <v>1390.141095890411</v>
      </c>
      <c r="G60" s="17"/>
      <c r="H60" s="23">
        <v>41153</v>
      </c>
      <c r="I60" s="179">
        <f t="shared" si="15"/>
        <v>1.684</v>
      </c>
      <c r="J60" s="11">
        <f t="shared" si="14"/>
        <v>6</v>
      </c>
    </row>
    <row r="61" spans="1:10" ht="12.75">
      <c r="A61" s="11">
        <f t="shared" si="11"/>
        <v>100000</v>
      </c>
      <c r="B61" s="12">
        <f t="shared" si="12"/>
        <v>31</v>
      </c>
      <c r="C61" s="18">
        <f t="shared" si="8"/>
        <v>0.0014302465753424655</v>
      </c>
      <c r="D61" s="11">
        <f t="shared" si="9"/>
        <v>143.02465753424656</v>
      </c>
      <c r="E61" s="11">
        <f t="shared" si="13"/>
        <v>1250</v>
      </c>
      <c r="F61" s="11">
        <f t="shared" si="10"/>
        <v>1393.0246575342467</v>
      </c>
      <c r="G61" s="16"/>
      <c r="H61" s="23">
        <v>41183</v>
      </c>
      <c r="I61" s="179">
        <f t="shared" si="15"/>
        <v>1.684</v>
      </c>
      <c r="J61" s="11">
        <f t="shared" si="14"/>
        <v>6</v>
      </c>
    </row>
    <row r="62" spans="1:10" ht="12.75">
      <c r="A62" s="11">
        <f t="shared" si="11"/>
        <v>98750</v>
      </c>
      <c r="B62" s="12">
        <f t="shared" si="12"/>
        <v>30</v>
      </c>
      <c r="C62" s="18">
        <f t="shared" si="8"/>
        <v>0.001384109589041096</v>
      </c>
      <c r="D62" s="11">
        <f t="shared" si="9"/>
        <v>136.68082191780823</v>
      </c>
      <c r="E62" s="11">
        <f t="shared" si="13"/>
        <v>1250</v>
      </c>
      <c r="F62" s="11">
        <f t="shared" si="10"/>
        <v>1386.6808219178083</v>
      </c>
      <c r="G62" s="17"/>
      <c r="H62" s="23">
        <v>41214</v>
      </c>
      <c r="I62" s="179">
        <f t="shared" si="15"/>
        <v>1.684</v>
      </c>
      <c r="J62" s="11">
        <f t="shared" si="14"/>
        <v>6</v>
      </c>
    </row>
    <row r="63" spans="1:10" ht="12.75">
      <c r="A63" s="11">
        <f t="shared" si="11"/>
        <v>97500</v>
      </c>
      <c r="B63" s="12">
        <f t="shared" si="12"/>
        <v>31</v>
      </c>
      <c r="C63" s="18">
        <f t="shared" si="8"/>
        <v>0.0014302465753424655</v>
      </c>
      <c r="D63" s="11">
        <f t="shared" si="9"/>
        <v>139.44904109589038</v>
      </c>
      <c r="E63" s="11">
        <f t="shared" si="13"/>
        <v>1250</v>
      </c>
      <c r="F63" s="11">
        <f t="shared" si="10"/>
        <v>1389.4490410958904</v>
      </c>
      <c r="G63" s="16">
        <f>SUM(F52:F63)</f>
        <v>16762.202191780823</v>
      </c>
      <c r="H63" s="23">
        <v>41244</v>
      </c>
      <c r="I63" s="179">
        <f t="shared" si="15"/>
        <v>1.684</v>
      </c>
      <c r="J63" s="11">
        <f t="shared" si="14"/>
        <v>6</v>
      </c>
    </row>
    <row r="64" spans="1:10" ht="12.75">
      <c r="A64" s="11">
        <f t="shared" si="11"/>
        <v>96250</v>
      </c>
      <c r="B64" s="12">
        <f t="shared" si="12"/>
        <v>31</v>
      </c>
      <c r="C64" s="18">
        <f t="shared" si="8"/>
        <v>0.0014302465753424655</v>
      </c>
      <c r="D64" s="11">
        <f t="shared" si="9"/>
        <v>137.66123287671232</v>
      </c>
      <c r="E64" s="11">
        <f t="shared" si="13"/>
        <v>1250</v>
      </c>
      <c r="F64" s="11">
        <f t="shared" si="10"/>
        <v>1387.6612328767123</v>
      </c>
      <c r="G64" s="17"/>
      <c r="H64" s="23">
        <v>41275</v>
      </c>
      <c r="I64" s="179">
        <f t="shared" si="15"/>
        <v>1.684</v>
      </c>
      <c r="J64" s="11">
        <f t="shared" si="14"/>
        <v>6</v>
      </c>
    </row>
    <row r="65" spans="1:10" ht="12.75">
      <c r="A65" s="11">
        <f t="shared" si="11"/>
        <v>95000</v>
      </c>
      <c r="B65" s="12">
        <f t="shared" si="12"/>
        <v>28</v>
      </c>
      <c r="C65" s="18">
        <f t="shared" si="8"/>
        <v>0.0012918356164383562</v>
      </c>
      <c r="D65" s="11">
        <f t="shared" si="9"/>
        <v>122.72438356164383</v>
      </c>
      <c r="E65" s="11">
        <f t="shared" si="13"/>
        <v>1250</v>
      </c>
      <c r="F65" s="11">
        <f t="shared" si="10"/>
        <v>1372.724383561644</v>
      </c>
      <c r="G65" s="17"/>
      <c r="H65" s="23">
        <v>41306</v>
      </c>
      <c r="I65" s="179">
        <f t="shared" si="15"/>
        <v>1.684</v>
      </c>
      <c r="J65" s="11">
        <f t="shared" si="14"/>
        <v>6</v>
      </c>
    </row>
    <row r="66" spans="1:10" ht="12.75">
      <c r="A66" s="11">
        <f t="shared" si="11"/>
        <v>93750</v>
      </c>
      <c r="B66" s="12">
        <f t="shared" si="12"/>
        <v>31</v>
      </c>
      <c r="C66" s="18">
        <f t="shared" si="8"/>
        <v>0.0014302465753424655</v>
      </c>
      <c r="D66" s="11">
        <f t="shared" si="9"/>
        <v>134.08561643835614</v>
      </c>
      <c r="E66" s="11">
        <f t="shared" si="13"/>
        <v>1250</v>
      </c>
      <c r="F66" s="11">
        <f t="shared" si="10"/>
        <v>1384.085616438356</v>
      </c>
      <c r="G66" s="17"/>
      <c r="H66" s="23">
        <v>41334</v>
      </c>
      <c r="I66" s="179">
        <f t="shared" si="15"/>
        <v>1.684</v>
      </c>
      <c r="J66" s="11">
        <f t="shared" si="14"/>
        <v>6</v>
      </c>
    </row>
    <row r="67" spans="1:10" ht="12.75">
      <c r="A67" s="11">
        <f t="shared" si="11"/>
        <v>92500</v>
      </c>
      <c r="B67" s="12">
        <f t="shared" si="12"/>
        <v>30</v>
      </c>
      <c r="C67" s="18">
        <f t="shared" si="8"/>
        <v>0.001384109589041096</v>
      </c>
      <c r="D67" s="11">
        <f t="shared" si="9"/>
        <v>128.0301369863014</v>
      </c>
      <c r="E67" s="11">
        <f t="shared" si="13"/>
        <v>1250</v>
      </c>
      <c r="F67" s="11">
        <f t="shared" si="10"/>
        <v>1378.0301369863014</v>
      </c>
      <c r="G67" s="17"/>
      <c r="H67" s="23">
        <v>41365</v>
      </c>
      <c r="I67" s="179">
        <f t="shared" si="15"/>
        <v>1.684</v>
      </c>
      <c r="J67" s="11">
        <f t="shared" si="14"/>
        <v>6</v>
      </c>
    </row>
    <row r="68" spans="1:10" ht="12.75">
      <c r="A68" s="11">
        <f t="shared" si="11"/>
        <v>91250</v>
      </c>
      <c r="B68" s="12">
        <f t="shared" si="12"/>
        <v>31</v>
      </c>
      <c r="C68" s="18">
        <f t="shared" si="8"/>
        <v>0.0014302465753424655</v>
      </c>
      <c r="D68" s="11">
        <f t="shared" si="9"/>
        <v>130.51</v>
      </c>
      <c r="E68" s="11">
        <f t="shared" si="13"/>
        <v>1250</v>
      </c>
      <c r="F68" s="11">
        <f t="shared" si="10"/>
        <v>1380.51</v>
      </c>
      <c r="G68" s="17"/>
      <c r="H68" s="23">
        <v>41395</v>
      </c>
      <c r="I68" s="179">
        <f t="shared" si="15"/>
        <v>1.684</v>
      </c>
      <c r="J68" s="11">
        <f t="shared" si="14"/>
        <v>6</v>
      </c>
    </row>
    <row r="69" spans="1:10" ht="12.75">
      <c r="A69" s="11">
        <f t="shared" si="11"/>
        <v>90000</v>
      </c>
      <c r="B69" s="12">
        <f t="shared" si="12"/>
        <v>30</v>
      </c>
      <c r="C69" s="18">
        <f t="shared" si="8"/>
        <v>0.001384109589041096</v>
      </c>
      <c r="D69" s="11">
        <f t="shared" si="9"/>
        <v>124.56986301369864</v>
      </c>
      <c r="E69" s="11">
        <f t="shared" si="13"/>
        <v>1250</v>
      </c>
      <c r="F69" s="11">
        <f t="shared" si="10"/>
        <v>1374.5698630136985</v>
      </c>
      <c r="G69" s="17"/>
      <c r="H69" s="23">
        <v>41426</v>
      </c>
      <c r="I69" s="179">
        <f t="shared" si="15"/>
        <v>1.684</v>
      </c>
      <c r="J69" s="11">
        <f t="shared" si="14"/>
        <v>6</v>
      </c>
    </row>
    <row r="70" spans="1:10" ht="12.75">
      <c r="A70" s="11">
        <f t="shared" si="11"/>
        <v>88750</v>
      </c>
      <c r="B70" s="12">
        <f t="shared" si="12"/>
        <v>31</v>
      </c>
      <c r="C70" s="18">
        <f t="shared" si="8"/>
        <v>0.0014302465753424655</v>
      </c>
      <c r="D70" s="11">
        <f t="shared" si="9"/>
        <v>126.93438356164381</v>
      </c>
      <c r="E70" s="11">
        <f t="shared" si="13"/>
        <v>1250</v>
      </c>
      <c r="F70" s="11">
        <f t="shared" si="10"/>
        <v>1376.9343835616437</v>
      </c>
      <c r="G70" s="17"/>
      <c r="H70" s="23">
        <v>41456</v>
      </c>
      <c r="I70" s="179">
        <f t="shared" si="15"/>
        <v>1.684</v>
      </c>
      <c r="J70" s="11">
        <f t="shared" si="14"/>
        <v>6</v>
      </c>
    </row>
    <row r="71" spans="1:10" ht="12.75">
      <c r="A71" s="11">
        <f t="shared" si="11"/>
        <v>87500</v>
      </c>
      <c r="B71" s="12">
        <f t="shared" si="12"/>
        <v>31</v>
      </c>
      <c r="C71" s="18">
        <f t="shared" si="8"/>
        <v>0.0014302465753424655</v>
      </c>
      <c r="D71" s="11">
        <f t="shared" si="9"/>
        <v>125.14657534246574</v>
      </c>
      <c r="E71" s="11">
        <f t="shared" si="13"/>
        <v>1250</v>
      </c>
      <c r="F71" s="11">
        <f t="shared" si="10"/>
        <v>1375.1465753424657</v>
      </c>
      <c r="G71" s="17"/>
      <c r="H71" s="23">
        <v>41487</v>
      </c>
      <c r="I71" s="179">
        <f t="shared" si="15"/>
        <v>1.684</v>
      </c>
      <c r="J71" s="11">
        <f t="shared" si="14"/>
        <v>6</v>
      </c>
    </row>
    <row r="72" spans="1:10" ht="12.75">
      <c r="A72" s="11">
        <f t="shared" si="11"/>
        <v>86250</v>
      </c>
      <c r="B72" s="12">
        <f t="shared" si="12"/>
        <v>30</v>
      </c>
      <c r="C72" s="18">
        <f t="shared" si="8"/>
        <v>0.001384109589041096</v>
      </c>
      <c r="D72" s="11">
        <f t="shared" si="9"/>
        <v>119.37945205479453</v>
      </c>
      <c r="E72" s="11">
        <f t="shared" si="13"/>
        <v>1250</v>
      </c>
      <c r="F72" s="11">
        <f t="shared" si="10"/>
        <v>1369.3794520547945</v>
      </c>
      <c r="G72" s="17"/>
      <c r="H72" s="23">
        <v>41518</v>
      </c>
      <c r="I72" s="179">
        <f t="shared" si="15"/>
        <v>1.684</v>
      </c>
      <c r="J72" s="11">
        <f t="shared" si="14"/>
        <v>6</v>
      </c>
    </row>
    <row r="73" spans="1:10" ht="12.75">
      <c r="A73" s="11">
        <f t="shared" si="11"/>
        <v>85000</v>
      </c>
      <c r="B73" s="12">
        <f t="shared" si="12"/>
        <v>31</v>
      </c>
      <c r="C73" s="18">
        <f aca="true" t="shared" si="16" ref="C73:C104">I73/365*B73/100</f>
        <v>0.0014302465753424655</v>
      </c>
      <c r="D73" s="11">
        <f aca="true" t="shared" si="17" ref="D73:D104">A73*C73</f>
        <v>121.57095890410957</v>
      </c>
      <c r="E73" s="11">
        <f t="shared" si="13"/>
        <v>1250</v>
      </c>
      <c r="F73" s="11">
        <f aca="true" t="shared" si="18" ref="F73:F104">+D73+E73</f>
        <v>1371.5709589041096</v>
      </c>
      <c r="G73" s="17"/>
      <c r="H73" s="23">
        <v>41548</v>
      </c>
      <c r="I73" s="179">
        <f t="shared" si="15"/>
        <v>1.684</v>
      </c>
      <c r="J73" s="11">
        <f t="shared" si="14"/>
        <v>6</v>
      </c>
    </row>
    <row r="74" spans="1:10" ht="12.75">
      <c r="A74" s="11">
        <f aca="true" t="shared" si="19" ref="A74:A105">+A73-E73</f>
        <v>83750</v>
      </c>
      <c r="B74" s="12">
        <f aca="true" t="shared" si="20" ref="B74:B105">+H75-H74</f>
        <v>30</v>
      </c>
      <c r="C74" s="18">
        <f t="shared" si="16"/>
        <v>0.001384109589041096</v>
      </c>
      <c r="D74" s="11">
        <f t="shared" si="17"/>
        <v>115.91917808219179</v>
      </c>
      <c r="E74" s="11">
        <f aca="true" t="shared" si="21" ref="E74:E105">+E73</f>
        <v>1250</v>
      </c>
      <c r="F74" s="11">
        <f t="shared" si="18"/>
        <v>1365.9191780821918</v>
      </c>
      <c r="G74" s="17"/>
      <c r="H74" s="23">
        <v>41579</v>
      </c>
      <c r="I74" s="179">
        <f aca="true" t="shared" si="22" ref="I74:I105">+I73</f>
        <v>1.684</v>
      </c>
      <c r="J74" s="11">
        <f aca="true" t="shared" si="23" ref="J74:J105">+J73</f>
        <v>6</v>
      </c>
    </row>
    <row r="75" spans="1:10" ht="12.75">
      <c r="A75" s="11">
        <f t="shared" si="19"/>
        <v>82500</v>
      </c>
      <c r="B75" s="12">
        <f t="shared" si="20"/>
        <v>31</v>
      </c>
      <c r="C75" s="18">
        <f t="shared" si="16"/>
        <v>0.0014302465753424655</v>
      </c>
      <c r="D75" s="11">
        <f t="shared" si="17"/>
        <v>117.99534246575341</v>
      </c>
      <c r="E75" s="11">
        <f t="shared" si="21"/>
        <v>1250</v>
      </c>
      <c r="F75" s="11">
        <f t="shared" si="18"/>
        <v>1367.9953424657533</v>
      </c>
      <c r="G75" s="16">
        <f>SUM(F64:F75)</f>
        <v>16504.52712328767</v>
      </c>
      <c r="H75" s="23">
        <v>41609</v>
      </c>
      <c r="I75" s="179">
        <f t="shared" si="22"/>
        <v>1.684</v>
      </c>
      <c r="J75" s="11">
        <f t="shared" si="23"/>
        <v>6</v>
      </c>
    </row>
    <row r="76" spans="1:10" ht="12.75">
      <c r="A76" s="11">
        <f t="shared" si="19"/>
        <v>81250</v>
      </c>
      <c r="B76" s="12">
        <f t="shared" si="20"/>
        <v>31</v>
      </c>
      <c r="C76" s="18">
        <f t="shared" si="16"/>
        <v>0.0014302465753424655</v>
      </c>
      <c r="D76" s="11">
        <f t="shared" si="17"/>
        <v>116.20753424657532</v>
      </c>
      <c r="E76" s="11">
        <f t="shared" si="21"/>
        <v>1250</v>
      </c>
      <c r="F76" s="11">
        <f t="shared" si="18"/>
        <v>1366.2075342465753</v>
      </c>
      <c r="G76" s="17"/>
      <c r="H76" s="23">
        <v>41640</v>
      </c>
      <c r="I76" s="179">
        <f t="shared" si="22"/>
        <v>1.684</v>
      </c>
      <c r="J76" s="11">
        <f t="shared" si="23"/>
        <v>6</v>
      </c>
    </row>
    <row r="77" spans="1:10" ht="12.75">
      <c r="A77" s="11">
        <f t="shared" si="19"/>
        <v>80000</v>
      </c>
      <c r="B77" s="12">
        <f t="shared" si="20"/>
        <v>28</v>
      </c>
      <c r="C77" s="18">
        <f t="shared" si="16"/>
        <v>0.0012918356164383562</v>
      </c>
      <c r="D77" s="11">
        <f t="shared" si="17"/>
        <v>103.3468493150685</v>
      </c>
      <c r="E77" s="11">
        <f t="shared" si="21"/>
        <v>1250</v>
      </c>
      <c r="F77" s="11">
        <f t="shared" si="18"/>
        <v>1353.3468493150685</v>
      </c>
      <c r="G77" s="17"/>
      <c r="H77" s="23">
        <v>41671</v>
      </c>
      <c r="I77" s="179">
        <f t="shared" si="22"/>
        <v>1.684</v>
      </c>
      <c r="J77" s="11">
        <f t="shared" si="23"/>
        <v>6</v>
      </c>
    </row>
    <row r="78" spans="1:10" ht="12.75">
      <c r="A78" s="11">
        <f t="shared" si="19"/>
        <v>78750</v>
      </c>
      <c r="B78" s="12">
        <f t="shared" si="20"/>
        <v>31</v>
      </c>
      <c r="C78" s="18">
        <f t="shared" si="16"/>
        <v>0.0014302465753424655</v>
      </c>
      <c r="D78" s="11">
        <f t="shared" si="17"/>
        <v>112.63191780821916</v>
      </c>
      <c r="E78" s="11">
        <f t="shared" si="21"/>
        <v>1250</v>
      </c>
      <c r="F78" s="11">
        <f t="shared" si="18"/>
        <v>1362.6319178082192</v>
      </c>
      <c r="G78" s="17"/>
      <c r="H78" s="23">
        <v>41699</v>
      </c>
      <c r="I78" s="179">
        <f t="shared" si="22"/>
        <v>1.684</v>
      </c>
      <c r="J78" s="11">
        <f t="shared" si="23"/>
        <v>6</v>
      </c>
    </row>
    <row r="79" spans="1:10" ht="12.75">
      <c r="A79" s="11">
        <f t="shared" si="19"/>
        <v>77500</v>
      </c>
      <c r="B79" s="12">
        <f t="shared" si="20"/>
        <v>30</v>
      </c>
      <c r="C79" s="18">
        <f t="shared" si="16"/>
        <v>0.001384109589041096</v>
      </c>
      <c r="D79" s="11">
        <f t="shared" si="17"/>
        <v>107.26849315068493</v>
      </c>
      <c r="E79" s="11">
        <f t="shared" si="21"/>
        <v>1250</v>
      </c>
      <c r="F79" s="11">
        <f t="shared" si="18"/>
        <v>1357.268493150685</v>
      </c>
      <c r="G79" s="17"/>
      <c r="H79" s="23">
        <v>41730</v>
      </c>
      <c r="I79" s="179">
        <f t="shared" si="22"/>
        <v>1.684</v>
      </c>
      <c r="J79" s="11">
        <f t="shared" si="23"/>
        <v>6</v>
      </c>
    </row>
    <row r="80" spans="1:10" ht="12.75">
      <c r="A80" s="11">
        <f t="shared" si="19"/>
        <v>76250</v>
      </c>
      <c r="B80" s="12">
        <f t="shared" si="20"/>
        <v>31</v>
      </c>
      <c r="C80" s="18">
        <f t="shared" si="16"/>
        <v>0.0014302465753424655</v>
      </c>
      <c r="D80" s="11">
        <f t="shared" si="17"/>
        <v>109.056301369863</v>
      </c>
      <c r="E80" s="11">
        <f t="shared" si="21"/>
        <v>1250</v>
      </c>
      <c r="F80" s="11">
        <f t="shared" si="18"/>
        <v>1359.056301369863</v>
      </c>
      <c r="G80" s="17"/>
      <c r="H80" s="23">
        <v>41760</v>
      </c>
      <c r="I80" s="179">
        <f t="shared" si="22"/>
        <v>1.684</v>
      </c>
      <c r="J80" s="11">
        <f t="shared" si="23"/>
        <v>6</v>
      </c>
    </row>
    <row r="81" spans="1:10" ht="12.75">
      <c r="A81" s="11">
        <f t="shared" si="19"/>
        <v>75000</v>
      </c>
      <c r="B81" s="12">
        <f t="shared" si="20"/>
        <v>30</v>
      </c>
      <c r="C81" s="18">
        <f t="shared" si="16"/>
        <v>0.001384109589041096</v>
      </c>
      <c r="D81" s="11">
        <f t="shared" si="17"/>
        <v>103.8082191780822</v>
      </c>
      <c r="E81" s="11">
        <f t="shared" si="21"/>
        <v>1250</v>
      </c>
      <c r="F81" s="11">
        <f t="shared" si="18"/>
        <v>1353.8082191780823</v>
      </c>
      <c r="G81" s="17"/>
      <c r="H81" s="23">
        <v>41791</v>
      </c>
      <c r="I81" s="179">
        <f t="shared" si="22"/>
        <v>1.684</v>
      </c>
      <c r="J81" s="11">
        <f t="shared" si="23"/>
        <v>6</v>
      </c>
    </row>
    <row r="82" spans="1:10" ht="12.75">
      <c r="A82" s="11">
        <f t="shared" si="19"/>
        <v>73750</v>
      </c>
      <c r="B82" s="12">
        <f t="shared" si="20"/>
        <v>31</v>
      </c>
      <c r="C82" s="18">
        <f t="shared" si="16"/>
        <v>0.0014302465753424655</v>
      </c>
      <c r="D82" s="11">
        <f t="shared" si="17"/>
        <v>105.48068493150683</v>
      </c>
      <c r="E82" s="11">
        <f t="shared" si="21"/>
        <v>1250</v>
      </c>
      <c r="F82" s="11">
        <f t="shared" si="18"/>
        <v>1355.4806849315069</v>
      </c>
      <c r="G82" s="17"/>
      <c r="H82" s="23">
        <v>41821</v>
      </c>
      <c r="I82" s="179">
        <f t="shared" si="22"/>
        <v>1.684</v>
      </c>
      <c r="J82" s="11">
        <f t="shared" si="23"/>
        <v>6</v>
      </c>
    </row>
    <row r="83" spans="1:10" ht="12.75">
      <c r="A83" s="11">
        <f t="shared" si="19"/>
        <v>72500</v>
      </c>
      <c r="B83" s="12">
        <f t="shared" si="20"/>
        <v>31</v>
      </c>
      <c r="C83" s="18">
        <f t="shared" si="16"/>
        <v>0.0014302465753424655</v>
      </c>
      <c r="D83" s="11">
        <f t="shared" si="17"/>
        <v>103.69287671232875</v>
      </c>
      <c r="E83" s="11">
        <f t="shared" si="21"/>
        <v>1250</v>
      </c>
      <c r="F83" s="11">
        <f t="shared" si="18"/>
        <v>1353.6928767123288</v>
      </c>
      <c r="G83" s="17"/>
      <c r="H83" s="23">
        <v>41852</v>
      </c>
      <c r="I83" s="179">
        <f t="shared" si="22"/>
        <v>1.684</v>
      </c>
      <c r="J83" s="11">
        <f t="shared" si="23"/>
        <v>6</v>
      </c>
    </row>
    <row r="84" spans="1:10" ht="12.75">
      <c r="A84" s="11">
        <f t="shared" si="19"/>
        <v>71250</v>
      </c>
      <c r="B84" s="12">
        <f t="shared" si="20"/>
        <v>30</v>
      </c>
      <c r="C84" s="18">
        <f t="shared" si="16"/>
        <v>0.001384109589041096</v>
      </c>
      <c r="D84" s="11">
        <f t="shared" si="17"/>
        <v>98.61780821917809</v>
      </c>
      <c r="E84" s="11">
        <f t="shared" si="21"/>
        <v>1250</v>
      </c>
      <c r="F84" s="11">
        <f t="shared" si="18"/>
        <v>1348.6178082191782</v>
      </c>
      <c r="G84" s="17"/>
      <c r="H84" s="23">
        <v>41883</v>
      </c>
      <c r="I84" s="179">
        <f t="shared" si="22"/>
        <v>1.684</v>
      </c>
      <c r="J84" s="11">
        <f t="shared" si="23"/>
        <v>6</v>
      </c>
    </row>
    <row r="85" spans="1:10" ht="12.75">
      <c r="A85" s="11">
        <f t="shared" si="19"/>
        <v>70000</v>
      </c>
      <c r="B85" s="12">
        <f t="shared" si="20"/>
        <v>31</v>
      </c>
      <c r="C85" s="18">
        <f t="shared" si="16"/>
        <v>0.0014302465753424655</v>
      </c>
      <c r="D85" s="11">
        <f t="shared" si="17"/>
        <v>100.11726027397259</v>
      </c>
      <c r="E85" s="11">
        <f t="shared" si="21"/>
        <v>1250</v>
      </c>
      <c r="F85" s="11">
        <f t="shared" si="18"/>
        <v>1350.1172602739725</v>
      </c>
      <c r="G85" s="17"/>
      <c r="H85" s="23">
        <v>41913</v>
      </c>
      <c r="I85" s="179">
        <f t="shared" si="22"/>
        <v>1.684</v>
      </c>
      <c r="J85" s="11">
        <f t="shared" si="23"/>
        <v>6</v>
      </c>
    </row>
    <row r="86" spans="1:10" ht="12.75">
      <c r="A86" s="11">
        <f t="shared" si="19"/>
        <v>68750</v>
      </c>
      <c r="B86" s="12">
        <f t="shared" si="20"/>
        <v>30</v>
      </c>
      <c r="C86" s="18">
        <f t="shared" si="16"/>
        <v>0.001384109589041096</v>
      </c>
      <c r="D86" s="11">
        <f t="shared" si="17"/>
        <v>95.15753424657535</v>
      </c>
      <c r="E86" s="11">
        <f t="shared" si="21"/>
        <v>1250</v>
      </c>
      <c r="F86" s="11">
        <f t="shared" si="18"/>
        <v>1345.1575342465753</v>
      </c>
      <c r="G86" s="17"/>
      <c r="H86" s="23">
        <v>41944</v>
      </c>
      <c r="I86" s="179">
        <f t="shared" si="22"/>
        <v>1.684</v>
      </c>
      <c r="J86" s="11">
        <f t="shared" si="23"/>
        <v>6</v>
      </c>
    </row>
    <row r="87" spans="1:10" ht="12.75">
      <c r="A87" s="11">
        <f t="shared" si="19"/>
        <v>67500</v>
      </c>
      <c r="B87" s="12">
        <f t="shared" si="20"/>
        <v>31</v>
      </c>
      <c r="C87" s="18">
        <f t="shared" si="16"/>
        <v>0.0014302465753424655</v>
      </c>
      <c r="D87" s="11">
        <f t="shared" si="17"/>
        <v>96.54164383561643</v>
      </c>
      <c r="E87" s="11">
        <f t="shared" si="21"/>
        <v>1250</v>
      </c>
      <c r="F87" s="11">
        <f t="shared" si="18"/>
        <v>1346.5416438356165</v>
      </c>
      <c r="G87" s="16">
        <f>SUM(F76:F87)</f>
        <v>16251.92712328767</v>
      </c>
      <c r="H87" s="23">
        <v>41974</v>
      </c>
      <c r="I87" s="179">
        <f t="shared" si="22"/>
        <v>1.684</v>
      </c>
      <c r="J87" s="11">
        <f t="shared" si="23"/>
        <v>6</v>
      </c>
    </row>
    <row r="88" spans="1:10" ht="12.75">
      <c r="A88" s="11">
        <f t="shared" si="19"/>
        <v>66250</v>
      </c>
      <c r="B88" s="12">
        <f t="shared" si="20"/>
        <v>31</v>
      </c>
      <c r="C88" s="18">
        <f t="shared" si="16"/>
        <v>0.0014302465753424655</v>
      </c>
      <c r="D88" s="11">
        <f t="shared" si="17"/>
        <v>94.75383561643834</v>
      </c>
      <c r="E88" s="11">
        <f t="shared" si="21"/>
        <v>1250</v>
      </c>
      <c r="F88" s="11">
        <f t="shared" si="18"/>
        <v>1344.7538356164384</v>
      </c>
      <c r="G88" s="17"/>
      <c r="H88" s="23">
        <v>42005</v>
      </c>
      <c r="I88" s="179">
        <f t="shared" si="22"/>
        <v>1.684</v>
      </c>
      <c r="J88" s="11">
        <f t="shared" si="23"/>
        <v>6</v>
      </c>
    </row>
    <row r="89" spans="1:10" ht="12.75">
      <c r="A89" s="11">
        <f t="shared" si="19"/>
        <v>65000</v>
      </c>
      <c r="B89" s="12">
        <f t="shared" si="20"/>
        <v>28</v>
      </c>
      <c r="C89" s="18">
        <f t="shared" si="16"/>
        <v>0.0012918356164383562</v>
      </c>
      <c r="D89" s="11">
        <f t="shared" si="17"/>
        <v>83.96931506849315</v>
      </c>
      <c r="E89" s="11">
        <f t="shared" si="21"/>
        <v>1250</v>
      </c>
      <c r="F89" s="11">
        <f t="shared" si="18"/>
        <v>1333.9693150684932</v>
      </c>
      <c r="G89" s="17"/>
      <c r="H89" s="23">
        <v>42036</v>
      </c>
      <c r="I89" s="179">
        <f t="shared" si="22"/>
        <v>1.684</v>
      </c>
      <c r="J89" s="11">
        <f t="shared" si="23"/>
        <v>6</v>
      </c>
    </row>
    <row r="90" spans="1:10" ht="12.75">
      <c r="A90" s="11">
        <f t="shared" si="19"/>
        <v>63750</v>
      </c>
      <c r="B90" s="12">
        <f t="shared" si="20"/>
        <v>31</v>
      </c>
      <c r="C90" s="18">
        <f t="shared" si="16"/>
        <v>0.0014302465753424655</v>
      </c>
      <c r="D90" s="11">
        <f t="shared" si="17"/>
        <v>91.17821917808217</v>
      </c>
      <c r="E90" s="11">
        <f t="shared" si="21"/>
        <v>1250</v>
      </c>
      <c r="F90" s="11">
        <f t="shared" si="18"/>
        <v>1341.1782191780821</v>
      </c>
      <c r="G90" s="17"/>
      <c r="H90" s="23">
        <v>42064</v>
      </c>
      <c r="I90" s="179">
        <f t="shared" si="22"/>
        <v>1.684</v>
      </c>
      <c r="J90" s="11">
        <f t="shared" si="23"/>
        <v>6</v>
      </c>
    </row>
    <row r="91" spans="1:10" ht="12.75">
      <c r="A91" s="11">
        <f t="shared" si="19"/>
        <v>62500</v>
      </c>
      <c r="B91" s="12">
        <f t="shared" si="20"/>
        <v>30</v>
      </c>
      <c r="C91" s="18">
        <f t="shared" si="16"/>
        <v>0.001384109589041096</v>
      </c>
      <c r="D91" s="11">
        <f t="shared" si="17"/>
        <v>86.5068493150685</v>
      </c>
      <c r="E91" s="11">
        <f t="shared" si="21"/>
        <v>1250</v>
      </c>
      <c r="F91" s="11">
        <f t="shared" si="18"/>
        <v>1336.5068493150684</v>
      </c>
      <c r="G91" s="17"/>
      <c r="H91" s="23">
        <v>42095</v>
      </c>
      <c r="I91" s="179">
        <f t="shared" si="22"/>
        <v>1.684</v>
      </c>
      <c r="J91" s="11">
        <f t="shared" si="23"/>
        <v>6</v>
      </c>
    </row>
    <row r="92" spans="1:10" ht="12.75">
      <c r="A92" s="11">
        <f t="shared" si="19"/>
        <v>61250</v>
      </c>
      <c r="B92" s="12">
        <f t="shared" si="20"/>
        <v>31</v>
      </c>
      <c r="C92" s="18">
        <f t="shared" si="16"/>
        <v>0.0014302465753424655</v>
      </c>
      <c r="D92" s="11">
        <f t="shared" si="17"/>
        <v>87.60260273972601</v>
      </c>
      <c r="E92" s="11">
        <f t="shared" si="21"/>
        <v>1250</v>
      </c>
      <c r="F92" s="11">
        <f t="shared" si="18"/>
        <v>1337.602602739726</v>
      </c>
      <c r="G92" s="17"/>
      <c r="H92" s="23">
        <v>42125</v>
      </c>
      <c r="I92" s="179">
        <f t="shared" si="22"/>
        <v>1.684</v>
      </c>
      <c r="J92" s="11">
        <f t="shared" si="23"/>
        <v>6</v>
      </c>
    </row>
    <row r="93" spans="1:10" ht="12.75">
      <c r="A93" s="11">
        <f t="shared" si="19"/>
        <v>60000</v>
      </c>
      <c r="B93" s="12">
        <f t="shared" si="20"/>
        <v>30</v>
      </c>
      <c r="C93" s="18">
        <f t="shared" si="16"/>
        <v>0.001384109589041096</v>
      </c>
      <c r="D93" s="11">
        <f t="shared" si="17"/>
        <v>83.04657534246576</v>
      </c>
      <c r="E93" s="11">
        <f t="shared" si="21"/>
        <v>1250</v>
      </c>
      <c r="F93" s="11">
        <f t="shared" si="18"/>
        <v>1333.0465753424658</v>
      </c>
      <c r="G93" s="17"/>
      <c r="H93" s="23">
        <v>42156</v>
      </c>
      <c r="I93" s="179">
        <f t="shared" si="22"/>
        <v>1.684</v>
      </c>
      <c r="J93" s="11">
        <f t="shared" si="23"/>
        <v>6</v>
      </c>
    </row>
    <row r="94" spans="1:10" ht="12.75">
      <c r="A94" s="11">
        <f t="shared" si="19"/>
        <v>58750</v>
      </c>
      <c r="B94" s="12">
        <f t="shared" si="20"/>
        <v>31</v>
      </c>
      <c r="C94" s="18">
        <f t="shared" si="16"/>
        <v>0.0014302465753424655</v>
      </c>
      <c r="D94" s="11">
        <f t="shared" si="17"/>
        <v>84.02698630136985</v>
      </c>
      <c r="E94" s="11">
        <f t="shared" si="21"/>
        <v>1250</v>
      </c>
      <c r="F94" s="11">
        <f t="shared" si="18"/>
        <v>1334.0269863013698</v>
      </c>
      <c r="G94" s="17"/>
      <c r="H94" s="23">
        <v>42186</v>
      </c>
      <c r="I94" s="179">
        <f t="shared" si="22"/>
        <v>1.684</v>
      </c>
      <c r="J94" s="11">
        <f t="shared" si="23"/>
        <v>6</v>
      </c>
    </row>
    <row r="95" spans="1:10" ht="12.75">
      <c r="A95" s="11">
        <f t="shared" si="19"/>
        <v>57500</v>
      </c>
      <c r="B95" s="12">
        <f t="shared" si="20"/>
        <v>31</v>
      </c>
      <c r="C95" s="18">
        <f t="shared" si="16"/>
        <v>0.0014302465753424655</v>
      </c>
      <c r="D95" s="11">
        <f t="shared" si="17"/>
        <v>82.23917808219177</v>
      </c>
      <c r="E95" s="11">
        <f t="shared" si="21"/>
        <v>1250</v>
      </c>
      <c r="F95" s="11">
        <f t="shared" si="18"/>
        <v>1332.2391780821918</v>
      </c>
      <c r="G95" s="17"/>
      <c r="H95" s="23">
        <v>42217</v>
      </c>
      <c r="I95" s="179">
        <f t="shared" si="22"/>
        <v>1.684</v>
      </c>
      <c r="J95" s="11">
        <f t="shared" si="23"/>
        <v>6</v>
      </c>
    </row>
    <row r="96" spans="1:10" ht="12.75">
      <c r="A96" s="11">
        <f t="shared" si="19"/>
        <v>56250</v>
      </c>
      <c r="B96" s="12">
        <f t="shared" si="20"/>
        <v>30</v>
      </c>
      <c r="C96" s="18">
        <f t="shared" si="16"/>
        <v>0.001384109589041096</v>
      </c>
      <c r="D96" s="11">
        <f t="shared" si="17"/>
        <v>77.85616438356165</v>
      </c>
      <c r="E96" s="11">
        <f t="shared" si="21"/>
        <v>1250</v>
      </c>
      <c r="F96" s="11">
        <f t="shared" si="18"/>
        <v>1327.8561643835617</v>
      </c>
      <c r="G96" s="17"/>
      <c r="H96" s="23">
        <v>42248</v>
      </c>
      <c r="I96" s="179">
        <f t="shared" si="22"/>
        <v>1.684</v>
      </c>
      <c r="J96" s="11">
        <f t="shared" si="23"/>
        <v>6</v>
      </c>
    </row>
    <row r="97" spans="1:10" ht="12.75">
      <c r="A97" s="11">
        <f t="shared" si="19"/>
        <v>55000</v>
      </c>
      <c r="B97" s="12">
        <f t="shared" si="20"/>
        <v>31</v>
      </c>
      <c r="C97" s="18">
        <f t="shared" si="16"/>
        <v>0.0014302465753424655</v>
      </c>
      <c r="D97" s="11">
        <f t="shared" si="17"/>
        <v>78.6635616438356</v>
      </c>
      <c r="E97" s="11">
        <f t="shared" si="21"/>
        <v>1250</v>
      </c>
      <c r="F97" s="11">
        <f t="shared" si="18"/>
        <v>1328.6635616438357</v>
      </c>
      <c r="G97" s="17"/>
      <c r="H97" s="23">
        <v>42278</v>
      </c>
      <c r="I97" s="179">
        <f t="shared" si="22"/>
        <v>1.684</v>
      </c>
      <c r="J97" s="11">
        <f t="shared" si="23"/>
        <v>6</v>
      </c>
    </row>
    <row r="98" spans="1:10" ht="12.75">
      <c r="A98" s="11">
        <f t="shared" si="19"/>
        <v>53750</v>
      </c>
      <c r="B98" s="12">
        <f t="shared" si="20"/>
        <v>30</v>
      </c>
      <c r="C98" s="18">
        <f t="shared" si="16"/>
        <v>0.001384109589041096</v>
      </c>
      <c r="D98" s="11">
        <f t="shared" si="17"/>
        <v>74.39589041095891</v>
      </c>
      <c r="E98" s="11">
        <f t="shared" si="21"/>
        <v>1250</v>
      </c>
      <c r="F98" s="11">
        <f t="shared" si="18"/>
        <v>1324.3958904109588</v>
      </c>
      <c r="G98" s="17"/>
      <c r="H98" s="23">
        <v>42309</v>
      </c>
      <c r="I98" s="179">
        <f t="shared" si="22"/>
        <v>1.684</v>
      </c>
      <c r="J98" s="11">
        <f t="shared" si="23"/>
        <v>6</v>
      </c>
    </row>
    <row r="99" spans="1:10" ht="12.75">
      <c r="A99" s="11">
        <f t="shared" si="19"/>
        <v>52500</v>
      </c>
      <c r="B99" s="12">
        <f t="shared" si="20"/>
        <v>31</v>
      </c>
      <c r="C99" s="18">
        <f t="shared" si="16"/>
        <v>0.0014302465753424655</v>
      </c>
      <c r="D99" s="11">
        <f t="shared" si="17"/>
        <v>75.08794520547944</v>
      </c>
      <c r="E99" s="11">
        <f t="shared" si="21"/>
        <v>1250</v>
      </c>
      <c r="F99" s="11">
        <f t="shared" si="18"/>
        <v>1325.0879452054794</v>
      </c>
      <c r="G99" s="16">
        <f>SUM(F88:F99)</f>
        <v>15999.327123287672</v>
      </c>
      <c r="H99" s="23">
        <v>42339</v>
      </c>
      <c r="I99" s="179">
        <f t="shared" si="22"/>
        <v>1.684</v>
      </c>
      <c r="J99" s="11">
        <f t="shared" si="23"/>
        <v>6</v>
      </c>
    </row>
    <row r="100" spans="1:10" ht="12.75">
      <c r="A100" s="11">
        <f t="shared" si="19"/>
        <v>51250</v>
      </c>
      <c r="B100" s="12">
        <f t="shared" si="20"/>
        <v>31</v>
      </c>
      <c r="C100" s="18">
        <f t="shared" si="16"/>
        <v>0.0014302465753424655</v>
      </c>
      <c r="D100" s="11">
        <f t="shared" si="17"/>
        <v>73.30013698630135</v>
      </c>
      <c r="E100" s="11">
        <f t="shared" si="21"/>
        <v>1250</v>
      </c>
      <c r="F100" s="11">
        <f t="shared" si="18"/>
        <v>1323.3001369863014</v>
      </c>
      <c r="G100" s="17"/>
      <c r="H100" s="23">
        <v>42370</v>
      </c>
      <c r="I100" s="179">
        <f t="shared" si="22"/>
        <v>1.684</v>
      </c>
      <c r="J100" s="11">
        <f t="shared" si="23"/>
        <v>6</v>
      </c>
    </row>
    <row r="101" spans="1:10" ht="12.75">
      <c r="A101" s="11">
        <f t="shared" si="19"/>
        <v>50000</v>
      </c>
      <c r="B101" s="12">
        <f t="shared" si="20"/>
        <v>29</v>
      </c>
      <c r="C101" s="18">
        <f t="shared" si="16"/>
        <v>0.001337972602739726</v>
      </c>
      <c r="D101" s="11">
        <f t="shared" si="17"/>
        <v>66.8986301369863</v>
      </c>
      <c r="E101" s="11">
        <f t="shared" si="21"/>
        <v>1250</v>
      </c>
      <c r="F101" s="11">
        <f t="shared" si="18"/>
        <v>1316.8986301369864</v>
      </c>
      <c r="G101" s="17"/>
      <c r="H101" s="23">
        <v>42401</v>
      </c>
      <c r="I101" s="179">
        <f t="shared" si="22"/>
        <v>1.684</v>
      </c>
      <c r="J101" s="11">
        <f t="shared" si="23"/>
        <v>6</v>
      </c>
    </row>
    <row r="102" spans="1:10" ht="12.75">
      <c r="A102" s="11">
        <f t="shared" si="19"/>
        <v>48750</v>
      </c>
      <c r="B102" s="12">
        <f t="shared" si="20"/>
        <v>31</v>
      </c>
      <c r="C102" s="18">
        <f t="shared" si="16"/>
        <v>0.0014302465753424655</v>
      </c>
      <c r="D102" s="11">
        <f t="shared" si="17"/>
        <v>69.72452054794519</v>
      </c>
      <c r="E102" s="11">
        <f t="shared" si="21"/>
        <v>1250</v>
      </c>
      <c r="F102" s="11">
        <f t="shared" si="18"/>
        <v>1319.7245205479453</v>
      </c>
      <c r="G102" s="17"/>
      <c r="H102" s="23">
        <v>42430</v>
      </c>
      <c r="I102" s="179">
        <f t="shared" si="22"/>
        <v>1.684</v>
      </c>
      <c r="J102" s="11">
        <f t="shared" si="23"/>
        <v>6</v>
      </c>
    </row>
    <row r="103" spans="1:10" ht="12.75">
      <c r="A103" s="11">
        <f t="shared" si="19"/>
        <v>47500</v>
      </c>
      <c r="B103" s="12">
        <f t="shared" si="20"/>
        <v>30</v>
      </c>
      <c r="C103" s="18">
        <f t="shared" si="16"/>
        <v>0.001384109589041096</v>
      </c>
      <c r="D103" s="11">
        <f t="shared" si="17"/>
        <v>65.74520547945205</v>
      </c>
      <c r="E103" s="11">
        <f t="shared" si="21"/>
        <v>1250</v>
      </c>
      <c r="F103" s="11">
        <f t="shared" si="18"/>
        <v>1315.7452054794521</v>
      </c>
      <c r="G103" s="17"/>
      <c r="H103" s="23">
        <v>42461</v>
      </c>
      <c r="I103" s="179">
        <f t="shared" si="22"/>
        <v>1.684</v>
      </c>
      <c r="J103" s="11">
        <f t="shared" si="23"/>
        <v>6</v>
      </c>
    </row>
    <row r="104" spans="1:10" ht="12.75">
      <c r="A104" s="11">
        <f t="shared" si="19"/>
        <v>46250</v>
      </c>
      <c r="B104" s="12">
        <f t="shared" si="20"/>
        <v>31</v>
      </c>
      <c r="C104" s="18">
        <f t="shared" si="16"/>
        <v>0.0014302465753424655</v>
      </c>
      <c r="D104" s="11">
        <f t="shared" si="17"/>
        <v>66.14890410958903</v>
      </c>
      <c r="E104" s="11">
        <f t="shared" si="21"/>
        <v>1250</v>
      </c>
      <c r="F104" s="11">
        <f t="shared" si="18"/>
        <v>1316.148904109589</v>
      </c>
      <c r="G104" s="17"/>
      <c r="H104" s="23">
        <v>42491</v>
      </c>
      <c r="I104" s="179">
        <f t="shared" si="22"/>
        <v>1.684</v>
      </c>
      <c r="J104" s="11">
        <f t="shared" si="23"/>
        <v>6</v>
      </c>
    </row>
    <row r="105" spans="1:10" ht="12.75">
      <c r="A105" s="11">
        <f t="shared" si="19"/>
        <v>45000</v>
      </c>
      <c r="B105" s="12">
        <f t="shared" si="20"/>
        <v>30</v>
      </c>
      <c r="C105" s="18">
        <f aca="true" t="shared" si="24" ref="C105:C128">I105/365*B105/100</f>
        <v>0.001384109589041096</v>
      </c>
      <c r="D105" s="11">
        <f aca="true" t="shared" si="25" ref="D105:D128">A105*C105</f>
        <v>62.28493150684932</v>
      </c>
      <c r="E105" s="11">
        <f t="shared" si="21"/>
        <v>1250</v>
      </c>
      <c r="F105" s="11">
        <f aca="true" t="shared" si="26" ref="F105:F128">+D105+E105</f>
        <v>1312.2849315068493</v>
      </c>
      <c r="G105" s="17"/>
      <c r="H105" s="23">
        <v>42522</v>
      </c>
      <c r="I105" s="179">
        <f t="shared" si="22"/>
        <v>1.684</v>
      </c>
      <c r="J105" s="11">
        <f t="shared" si="23"/>
        <v>6</v>
      </c>
    </row>
    <row r="106" spans="1:10" ht="12.75">
      <c r="A106" s="11">
        <f aca="true" t="shared" si="27" ref="A106:A128">+A105-E105</f>
        <v>43750</v>
      </c>
      <c r="B106" s="12">
        <f aca="true" t="shared" si="28" ref="B106:B127">+H107-H106</f>
        <v>31</v>
      </c>
      <c r="C106" s="18">
        <f t="shared" si="24"/>
        <v>0.0014302465753424655</v>
      </c>
      <c r="D106" s="11">
        <f t="shared" si="25"/>
        <v>62.57328767123287</v>
      </c>
      <c r="E106" s="11">
        <f aca="true" t="shared" si="29" ref="E106:E128">+E105</f>
        <v>1250</v>
      </c>
      <c r="F106" s="11">
        <f t="shared" si="26"/>
        <v>1312.573287671233</v>
      </c>
      <c r="G106" s="17"/>
      <c r="H106" s="23">
        <v>42552</v>
      </c>
      <c r="I106" s="179">
        <f aca="true" t="shared" si="30" ref="I106:I128">+I105</f>
        <v>1.684</v>
      </c>
      <c r="J106" s="11">
        <f aca="true" t="shared" si="31" ref="J106:J128">+J105</f>
        <v>6</v>
      </c>
    </row>
    <row r="107" spans="1:10" ht="12.75">
      <c r="A107" s="11">
        <f t="shared" si="27"/>
        <v>42500</v>
      </c>
      <c r="B107" s="12">
        <f t="shared" si="28"/>
        <v>31</v>
      </c>
      <c r="C107" s="18">
        <f t="shared" si="24"/>
        <v>0.0014302465753424655</v>
      </c>
      <c r="D107" s="11">
        <f t="shared" si="25"/>
        <v>60.78547945205479</v>
      </c>
      <c r="E107" s="11">
        <f t="shared" si="29"/>
        <v>1250</v>
      </c>
      <c r="F107" s="11">
        <f t="shared" si="26"/>
        <v>1310.7854794520547</v>
      </c>
      <c r="G107" s="17"/>
      <c r="H107" s="23">
        <v>42583</v>
      </c>
      <c r="I107" s="179">
        <f t="shared" si="30"/>
        <v>1.684</v>
      </c>
      <c r="J107" s="11">
        <f t="shared" si="31"/>
        <v>6</v>
      </c>
    </row>
    <row r="108" spans="1:10" ht="12.75">
      <c r="A108" s="11">
        <f t="shared" si="27"/>
        <v>41250</v>
      </c>
      <c r="B108" s="12">
        <f t="shared" si="28"/>
        <v>30</v>
      </c>
      <c r="C108" s="18">
        <f t="shared" si="24"/>
        <v>0.001384109589041096</v>
      </c>
      <c r="D108" s="11">
        <f t="shared" si="25"/>
        <v>57.09452054794521</v>
      </c>
      <c r="E108" s="11">
        <f t="shared" si="29"/>
        <v>1250</v>
      </c>
      <c r="F108" s="11">
        <f t="shared" si="26"/>
        <v>1307.0945205479452</v>
      </c>
      <c r="G108" s="17"/>
      <c r="H108" s="23">
        <v>42614</v>
      </c>
      <c r="I108" s="179">
        <f t="shared" si="30"/>
        <v>1.684</v>
      </c>
      <c r="J108" s="11">
        <f t="shared" si="31"/>
        <v>6</v>
      </c>
    </row>
    <row r="109" spans="1:10" ht="12.75">
      <c r="A109" s="11">
        <f t="shared" si="27"/>
        <v>40000</v>
      </c>
      <c r="B109" s="12">
        <f t="shared" si="28"/>
        <v>31</v>
      </c>
      <c r="C109" s="18">
        <f t="shared" si="24"/>
        <v>0.0014302465753424655</v>
      </c>
      <c r="D109" s="11">
        <f t="shared" si="25"/>
        <v>57.20986301369862</v>
      </c>
      <c r="E109" s="11">
        <f t="shared" si="29"/>
        <v>1250</v>
      </c>
      <c r="F109" s="11">
        <f t="shared" si="26"/>
        <v>1307.2098630136986</v>
      </c>
      <c r="G109" s="17"/>
      <c r="H109" s="23">
        <v>42644</v>
      </c>
      <c r="I109" s="179">
        <f t="shared" si="30"/>
        <v>1.684</v>
      </c>
      <c r="J109" s="11">
        <f t="shared" si="31"/>
        <v>6</v>
      </c>
    </row>
    <row r="110" spans="1:10" ht="12.75">
      <c r="A110" s="11">
        <f t="shared" si="27"/>
        <v>38750</v>
      </c>
      <c r="B110" s="12">
        <f t="shared" si="28"/>
        <v>30</v>
      </c>
      <c r="C110" s="18">
        <f t="shared" si="24"/>
        <v>0.001384109589041096</v>
      </c>
      <c r="D110" s="11">
        <f t="shared" si="25"/>
        <v>53.634246575342466</v>
      </c>
      <c r="E110" s="11">
        <f t="shared" si="29"/>
        <v>1250</v>
      </c>
      <c r="F110" s="11">
        <f t="shared" si="26"/>
        <v>1303.6342465753426</v>
      </c>
      <c r="G110" s="17"/>
      <c r="H110" s="23">
        <v>42675</v>
      </c>
      <c r="I110" s="179">
        <f t="shared" si="30"/>
        <v>1.684</v>
      </c>
      <c r="J110" s="11">
        <f t="shared" si="31"/>
        <v>6</v>
      </c>
    </row>
    <row r="111" spans="1:10" ht="12.75">
      <c r="A111" s="11">
        <f t="shared" si="27"/>
        <v>37500</v>
      </c>
      <c r="B111" s="12">
        <f t="shared" si="28"/>
        <v>31</v>
      </c>
      <c r="C111" s="18">
        <f t="shared" si="24"/>
        <v>0.0014302465753424655</v>
      </c>
      <c r="D111" s="11">
        <f t="shared" si="25"/>
        <v>53.63424657534246</v>
      </c>
      <c r="E111" s="11">
        <f t="shared" si="29"/>
        <v>1250</v>
      </c>
      <c r="F111" s="11">
        <f t="shared" si="26"/>
        <v>1303.6342465753426</v>
      </c>
      <c r="G111" s="16">
        <f>SUM(F100:F111)</f>
        <v>15749.033972602741</v>
      </c>
      <c r="H111" s="23">
        <v>42705</v>
      </c>
      <c r="I111" s="179">
        <f t="shared" si="30"/>
        <v>1.684</v>
      </c>
      <c r="J111" s="11">
        <f t="shared" si="31"/>
        <v>6</v>
      </c>
    </row>
    <row r="112" spans="1:10" ht="12.75">
      <c r="A112" s="11">
        <f t="shared" si="27"/>
        <v>36250</v>
      </c>
      <c r="B112" s="12">
        <f t="shared" si="28"/>
        <v>31</v>
      </c>
      <c r="C112" s="18">
        <f t="shared" si="24"/>
        <v>0.0014302465753424655</v>
      </c>
      <c r="D112" s="11">
        <f t="shared" si="25"/>
        <v>51.84643835616438</v>
      </c>
      <c r="E112" s="11">
        <f t="shared" si="29"/>
        <v>1250</v>
      </c>
      <c r="F112" s="11">
        <f t="shared" si="26"/>
        <v>1301.8464383561643</v>
      </c>
      <c r="G112" s="17"/>
      <c r="H112" s="23">
        <v>42736</v>
      </c>
      <c r="I112" s="179">
        <f t="shared" si="30"/>
        <v>1.684</v>
      </c>
      <c r="J112" s="11">
        <f t="shared" si="31"/>
        <v>6</v>
      </c>
    </row>
    <row r="113" spans="1:10" ht="12.75">
      <c r="A113" s="11">
        <f t="shared" si="27"/>
        <v>35000</v>
      </c>
      <c r="B113" s="12">
        <f t="shared" si="28"/>
        <v>28</v>
      </c>
      <c r="C113" s="18">
        <f t="shared" si="24"/>
        <v>0.0012918356164383562</v>
      </c>
      <c r="D113" s="11">
        <f t="shared" si="25"/>
        <v>45.214246575342464</v>
      </c>
      <c r="E113" s="11">
        <f t="shared" si="29"/>
        <v>1250</v>
      </c>
      <c r="F113" s="11">
        <f t="shared" si="26"/>
        <v>1295.2142465753425</v>
      </c>
      <c r="G113" s="17"/>
      <c r="H113" s="23">
        <v>42767</v>
      </c>
      <c r="I113" s="179">
        <f t="shared" si="30"/>
        <v>1.684</v>
      </c>
      <c r="J113" s="11">
        <f t="shared" si="31"/>
        <v>6</v>
      </c>
    </row>
    <row r="114" spans="1:10" ht="12.75">
      <c r="A114" s="11">
        <f t="shared" si="27"/>
        <v>33750</v>
      </c>
      <c r="B114" s="12">
        <f t="shared" si="28"/>
        <v>31</v>
      </c>
      <c r="C114" s="18">
        <f t="shared" si="24"/>
        <v>0.0014302465753424655</v>
      </c>
      <c r="D114" s="11">
        <f t="shared" si="25"/>
        <v>48.27082191780821</v>
      </c>
      <c r="E114" s="11">
        <f t="shared" si="29"/>
        <v>1250</v>
      </c>
      <c r="F114" s="11">
        <f t="shared" si="26"/>
        <v>1298.2708219178082</v>
      </c>
      <c r="G114" s="17"/>
      <c r="H114" s="23">
        <v>42795</v>
      </c>
      <c r="I114" s="179">
        <f t="shared" si="30"/>
        <v>1.684</v>
      </c>
      <c r="J114" s="11">
        <f t="shared" si="31"/>
        <v>6</v>
      </c>
    </row>
    <row r="115" spans="1:10" ht="12.75">
      <c r="A115" s="11">
        <f t="shared" si="27"/>
        <v>32500</v>
      </c>
      <c r="B115" s="12">
        <f t="shared" si="28"/>
        <v>30</v>
      </c>
      <c r="C115" s="18">
        <f t="shared" si="24"/>
        <v>0.001384109589041096</v>
      </c>
      <c r="D115" s="11">
        <f t="shared" si="25"/>
        <v>44.98356164383562</v>
      </c>
      <c r="E115" s="11">
        <f t="shared" si="29"/>
        <v>1250</v>
      </c>
      <c r="F115" s="11">
        <f t="shared" si="26"/>
        <v>1294.9835616438356</v>
      </c>
      <c r="G115" s="17"/>
      <c r="H115" s="23">
        <v>42826</v>
      </c>
      <c r="I115" s="179">
        <f t="shared" si="30"/>
        <v>1.684</v>
      </c>
      <c r="J115" s="11">
        <f t="shared" si="31"/>
        <v>6</v>
      </c>
    </row>
    <row r="116" spans="1:10" ht="12.75">
      <c r="A116" s="11">
        <f t="shared" si="27"/>
        <v>31250</v>
      </c>
      <c r="B116" s="12">
        <f t="shared" si="28"/>
        <v>31</v>
      </c>
      <c r="C116" s="18">
        <f t="shared" si="24"/>
        <v>0.0014302465753424655</v>
      </c>
      <c r="D116" s="11">
        <f t="shared" si="25"/>
        <v>44.69520547945205</v>
      </c>
      <c r="E116" s="11">
        <f t="shared" si="29"/>
        <v>1250</v>
      </c>
      <c r="F116" s="11">
        <f t="shared" si="26"/>
        <v>1294.695205479452</v>
      </c>
      <c r="G116" s="17"/>
      <c r="H116" s="23">
        <v>42856</v>
      </c>
      <c r="I116" s="179">
        <f t="shared" si="30"/>
        <v>1.684</v>
      </c>
      <c r="J116" s="11">
        <f t="shared" si="31"/>
        <v>6</v>
      </c>
    </row>
    <row r="117" spans="1:10" ht="12.75">
      <c r="A117" s="11">
        <f t="shared" si="27"/>
        <v>30000</v>
      </c>
      <c r="B117" s="12">
        <f t="shared" si="28"/>
        <v>30</v>
      </c>
      <c r="C117" s="18">
        <f t="shared" si="24"/>
        <v>0.001384109589041096</v>
      </c>
      <c r="D117" s="11">
        <f t="shared" si="25"/>
        <v>41.52328767123288</v>
      </c>
      <c r="E117" s="11">
        <f t="shared" si="29"/>
        <v>1250</v>
      </c>
      <c r="F117" s="11">
        <f t="shared" si="26"/>
        <v>1291.523287671233</v>
      </c>
      <c r="G117" s="17"/>
      <c r="H117" s="23">
        <v>42887</v>
      </c>
      <c r="I117" s="179">
        <f t="shared" si="30"/>
        <v>1.684</v>
      </c>
      <c r="J117" s="11">
        <f t="shared" si="31"/>
        <v>6</v>
      </c>
    </row>
    <row r="118" spans="1:10" ht="12.75">
      <c r="A118" s="11">
        <f t="shared" si="27"/>
        <v>28750</v>
      </c>
      <c r="B118" s="12">
        <f t="shared" si="28"/>
        <v>31</v>
      </c>
      <c r="C118" s="18">
        <f t="shared" si="24"/>
        <v>0.0014302465753424655</v>
      </c>
      <c r="D118" s="11">
        <f t="shared" si="25"/>
        <v>41.119589041095885</v>
      </c>
      <c r="E118" s="11">
        <f t="shared" si="29"/>
        <v>1250</v>
      </c>
      <c r="F118" s="11">
        <f t="shared" si="26"/>
        <v>1291.1195890410959</v>
      </c>
      <c r="G118" s="17"/>
      <c r="H118" s="23">
        <v>42917</v>
      </c>
      <c r="I118" s="179">
        <f t="shared" si="30"/>
        <v>1.684</v>
      </c>
      <c r="J118" s="11">
        <f t="shared" si="31"/>
        <v>6</v>
      </c>
    </row>
    <row r="119" spans="1:10" ht="12.75">
      <c r="A119" s="11">
        <f t="shared" si="27"/>
        <v>27500</v>
      </c>
      <c r="B119" s="12">
        <f t="shared" si="28"/>
        <v>31</v>
      </c>
      <c r="C119" s="18">
        <f t="shared" si="24"/>
        <v>0.0014302465753424655</v>
      </c>
      <c r="D119" s="11">
        <f t="shared" si="25"/>
        <v>39.3317808219178</v>
      </c>
      <c r="E119" s="11">
        <f t="shared" si="29"/>
        <v>1250</v>
      </c>
      <c r="F119" s="11">
        <f t="shared" si="26"/>
        <v>1289.3317808219178</v>
      </c>
      <c r="G119" s="17"/>
      <c r="H119" s="23">
        <v>42948</v>
      </c>
      <c r="I119" s="179">
        <f t="shared" si="30"/>
        <v>1.684</v>
      </c>
      <c r="J119" s="11">
        <f t="shared" si="31"/>
        <v>6</v>
      </c>
    </row>
    <row r="120" spans="1:10" ht="12.75">
      <c r="A120" s="11">
        <f t="shared" si="27"/>
        <v>26250</v>
      </c>
      <c r="B120" s="12">
        <f t="shared" si="28"/>
        <v>30</v>
      </c>
      <c r="C120" s="18">
        <f t="shared" si="24"/>
        <v>0.001384109589041096</v>
      </c>
      <c r="D120" s="11">
        <f t="shared" si="25"/>
        <v>36.33287671232877</v>
      </c>
      <c r="E120" s="11">
        <f t="shared" si="29"/>
        <v>1250</v>
      </c>
      <c r="F120" s="11">
        <f t="shared" si="26"/>
        <v>1286.3328767123287</v>
      </c>
      <c r="G120" s="17"/>
      <c r="H120" s="23">
        <v>42979</v>
      </c>
      <c r="I120" s="179">
        <f t="shared" si="30"/>
        <v>1.684</v>
      </c>
      <c r="J120" s="11">
        <f t="shared" si="31"/>
        <v>6</v>
      </c>
    </row>
    <row r="121" spans="1:10" ht="12.75">
      <c r="A121" s="11">
        <f t="shared" si="27"/>
        <v>25000</v>
      </c>
      <c r="B121" s="12">
        <f t="shared" si="28"/>
        <v>31</v>
      </c>
      <c r="C121" s="18">
        <f t="shared" si="24"/>
        <v>0.0014302465753424655</v>
      </c>
      <c r="D121" s="11">
        <f t="shared" si="25"/>
        <v>35.75616438356164</v>
      </c>
      <c r="E121" s="11">
        <f t="shared" si="29"/>
        <v>1250</v>
      </c>
      <c r="F121" s="11">
        <f t="shared" si="26"/>
        <v>1285.7561643835616</v>
      </c>
      <c r="G121" s="17"/>
      <c r="H121" s="23">
        <v>43009</v>
      </c>
      <c r="I121" s="179">
        <f t="shared" si="30"/>
        <v>1.684</v>
      </c>
      <c r="J121" s="11">
        <f t="shared" si="31"/>
        <v>6</v>
      </c>
    </row>
    <row r="122" spans="1:10" ht="12.75">
      <c r="A122" s="11">
        <f t="shared" si="27"/>
        <v>23750</v>
      </c>
      <c r="B122" s="12">
        <f t="shared" si="28"/>
        <v>30</v>
      </c>
      <c r="C122" s="18">
        <f t="shared" si="24"/>
        <v>0.001384109589041096</v>
      </c>
      <c r="D122" s="11">
        <f t="shared" si="25"/>
        <v>32.87260273972603</v>
      </c>
      <c r="E122" s="11">
        <f t="shared" si="29"/>
        <v>1250</v>
      </c>
      <c r="F122" s="11">
        <f t="shared" si="26"/>
        <v>1282.872602739726</v>
      </c>
      <c r="G122" s="17"/>
      <c r="H122" s="23">
        <v>43040</v>
      </c>
      <c r="I122" s="179">
        <f t="shared" si="30"/>
        <v>1.684</v>
      </c>
      <c r="J122" s="11">
        <f t="shared" si="31"/>
        <v>6</v>
      </c>
    </row>
    <row r="123" spans="1:10" ht="12.75">
      <c r="A123" s="11">
        <f t="shared" si="27"/>
        <v>22500</v>
      </c>
      <c r="B123" s="12">
        <f t="shared" si="28"/>
        <v>31</v>
      </c>
      <c r="C123" s="18">
        <f t="shared" si="24"/>
        <v>0.0014302465753424655</v>
      </c>
      <c r="D123" s="11">
        <f t="shared" si="25"/>
        <v>32.180547945205475</v>
      </c>
      <c r="E123" s="11">
        <f t="shared" si="29"/>
        <v>1250</v>
      </c>
      <c r="F123" s="11">
        <f t="shared" si="26"/>
        <v>1282.1805479452055</v>
      </c>
      <c r="G123" s="16">
        <f>SUM(F112:F123)</f>
        <v>15494.127123287672</v>
      </c>
      <c r="H123" s="23">
        <v>43070</v>
      </c>
      <c r="I123" s="179">
        <f t="shared" si="30"/>
        <v>1.684</v>
      </c>
      <c r="J123" s="11">
        <f t="shared" si="31"/>
        <v>6</v>
      </c>
    </row>
    <row r="124" spans="1:10" ht="12.75">
      <c r="A124" s="11">
        <f t="shared" si="27"/>
        <v>21250</v>
      </c>
      <c r="B124" s="12">
        <f t="shared" si="28"/>
        <v>31</v>
      </c>
      <c r="C124" s="18">
        <f t="shared" si="24"/>
        <v>0.0014302465753424655</v>
      </c>
      <c r="D124" s="11">
        <f t="shared" si="25"/>
        <v>30.392739726027393</v>
      </c>
      <c r="E124" s="11">
        <f t="shared" si="29"/>
        <v>1250</v>
      </c>
      <c r="F124" s="11">
        <f t="shared" si="26"/>
        <v>1280.3927397260275</v>
      </c>
      <c r="G124" s="16"/>
      <c r="H124" s="23">
        <v>43101</v>
      </c>
      <c r="I124" s="179">
        <f t="shared" si="30"/>
        <v>1.684</v>
      </c>
      <c r="J124" s="11">
        <f t="shared" si="31"/>
        <v>6</v>
      </c>
    </row>
    <row r="125" spans="1:10" ht="12.75">
      <c r="A125" s="11">
        <f t="shared" si="27"/>
        <v>20000</v>
      </c>
      <c r="B125" s="12">
        <f t="shared" si="28"/>
        <v>28</v>
      </c>
      <c r="C125" s="18">
        <f t="shared" si="24"/>
        <v>0.0012918356164383562</v>
      </c>
      <c r="D125" s="11">
        <f t="shared" si="25"/>
        <v>25.836712328767124</v>
      </c>
      <c r="E125" s="11">
        <f t="shared" si="29"/>
        <v>1250</v>
      </c>
      <c r="F125" s="11">
        <f t="shared" si="26"/>
        <v>1275.8367123287671</v>
      </c>
      <c r="G125" s="17"/>
      <c r="H125" s="23">
        <v>43132</v>
      </c>
      <c r="I125" s="179">
        <f t="shared" si="30"/>
        <v>1.684</v>
      </c>
      <c r="J125" s="11">
        <f t="shared" si="31"/>
        <v>6</v>
      </c>
    </row>
    <row r="126" spans="1:10" ht="12.75">
      <c r="A126" s="11">
        <f t="shared" si="27"/>
        <v>18750</v>
      </c>
      <c r="B126" s="12">
        <f t="shared" si="28"/>
        <v>31</v>
      </c>
      <c r="C126" s="18">
        <f t="shared" si="24"/>
        <v>0.0014302465753424655</v>
      </c>
      <c r="D126" s="11">
        <f t="shared" si="25"/>
        <v>26.81712328767123</v>
      </c>
      <c r="E126" s="11">
        <f t="shared" si="29"/>
        <v>1250</v>
      </c>
      <c r="F126" s="11">
        <f t="shared" si="26"/>
        <v>1276.8171232876712</v>
      </c>
      <c r="G126" s="17"/>
      <c r="H126" s="23">
        <v>43160</v>
      </c>
      <c r="I126" s="179">
        <f t="shared" si="30"/>
        <v>1.684</v>
      </c>
      <c r="J126" s="11">
        <f t="shared" si="31"/>
        <v>6</v>
      </c>
    </row>
    <row r="127" spans="1:10" ht="12.75">
      <c r="A127" s="11">
        <f t="shared" si="27"/>
        <v>17500</v>
      </c>
      <c r="B127" s="12">
        <f t="shared" si="28"/>
        <v>30</v>
      </c>
      <c r="C127" s="18">
        <f t="shared" si="24"/>
        <v>0.001384109589041096</v>
      </c>
      <c r="D127" s="11">
        <f t="shared" si="25"/>
        <v>24.221917808219178</v>
      </c>
      <c r="E127" s="11">
        <f t="shared" si="29"/>
        <v>1250</v>
      </c>
      <c r="F127" s="11">
        <f t="shared" si="26"/>
        <v>1274.2219178082191</v>
      </c>
      <c r="G127" s="17"/>
      <c r="H127" s="23">
        <v>43191</v>
      </c>
      <c r="I127" s="179">
        <f t="shared" si="30"/>
        <v>1.684</v>
      </c>
      <c r="J127" s="11">
        <f t="shared" si="31"/>
        <v>6</v>
      </c>
    </row>
    <row r="128" spans="1:10" ht="12.75">
      <c r="A128" s="11">
        <f t="shared" si="27"/>
        <v>16250</v>
      </c>
      <c r="B128" s="12">
        <v>31</v>
      </c>
      <c r="C128" s="18">
        <f t="shared" si="24"/>
        <v>0.0014302465753424655</v>
      </c>
      <c r="D128" s="11">
        <f t="shared" si="25"/>
        <v>23.241506849315066</v>
      </c>
      <c r="E128" s="11">
        <f t="shared" si="29"/>
        <v>1250</v>
      </c>
      <c r="F128" s="11">
        <f t="shared" si="26"/>
        <v>1273.241506849315</v>
      </c>
      <c r="G128" s="16"/>
      <c r="H128" s="23">
        <v>43221</v>
      </c>
      <c r="I128" s="179">
        <f t="shared" si="30"/>
        <v>1.684</v>
      </c>
      <c r="J128" s="11">
        <f t="shared" si="31"/>
        <v>6</v>
      </c>
    </row>
    <row r="129" spans="1:10" ht="12.75">
      <c r="A129" s="11">
        <f>+A128-E128</f>
        <v>15000</v>
      </c>
      <c r="B129" s="12">
        <v>30</v>
      </c>
      <c r="C129" s="18">
        <f>I129/365*B129/100</f>
        <v>0.001384109589041096</v>
      </c>
      <c r="D129" s="11">
        <f>A129*C129</f>
        <v>20.76164383561644</v>
      </c>
      <c r="E129" s="11">
        <f>+E128</f>
        <v>1250</v>
      </c>
      <c r="F129" s="11">
        <f>+D129+E129</f>
        <v>1270.7616438356165</v>
      </c>
      <c r="G129" s="16"/>
      <c r="H129" s="23">
        <v>43252</v>
      </c>
      <c r="I129" s="179">
        <f aca="true" t="shared" si="32" ref="I129:J132">+I128</f>
        <v>1.684</v>
      </c>
      <c r="J129" s="11">
        <f t="shared" si="32"/>
        <v>6</v>
      </c>
    </row>
    <row r="130" spans="1:10" ht="12.75">
      <c r="A130" s="11">
        <f>+A129-E129</f>
        <v>13750</v>
      </c>
      <c r="B130" s="12">
        <v>31</v>
      </c>
      <c r="C130" s="18">
        <f>I130/365*B130/100</f>
        <v>0.0014302465753424655</v>
      </c>
      <c r="D130" s="11">
        <f>A130*C130</f>
        <v>19.6658904109589</v>
      </c>
      <c r="E130" s="11">
        <f>+E129</f>
        <v>1250</v>
      </c>
      <c r="F130" s="11">
        <f>+D130+E130</f>
        <v>1269.6658904109588</v>
      </c>
      <c r="G130" s="16"/>
      <c r="H130" s="23">
        <v>43282</v>
      </c>
      <c r="I130" s="179">
        <f t="shared" si="32"/>
        <v>1.684</v>
      </c>
      <c r="J130" s="11">
        <f t="shared" si="32"/>
        <v>6</v>
      </c>
    </row>
    <row r="131" spans="1:10" ht="12.75">
      <c r="A131" s="11">
        <f>+A130-E130</f>
        <v>12500</v>
      </c>
      <c r="B131" s="12">
        <v>31</v>
      </c>
      <c r="C131" s="18">
        <f>I131/365*B131/100</f>
        <v>0.0014302465753424655</v>
      </c>
      <c r="D131" s="11">
        <f>A131*C131</f>
        <v>17.87808219178082</v>
      </c>
      <c r="E131" s="11">
        <f>+E130</f>
        <v>1250</v>
      </c>
      <c r="F131" s="11">
        <f>+D131+E131</f>
        <v>1267.8780821917808</v>
      </c>
      <c r="G131" s="16"/>
      <c r="H131" s="23">
        <v>43313</v>
      </c>
      <c r="I131" s="179">
        <f t="shared" si="32"/>
        <v>1.684</v>
      </c>
      <c r="J131" s="11">
        <f t="shared" si="32"/>
        <v>6</v>
      </c>
    </row>
    <row r="132" spans="1:10" ht="12.75">
      <c r="A132" s="11">
        <f>+A131-E131</f>
        <v>11250</v>
      </c>
      <c r="B132" s="12">
        <v>30</v>
      </c>
      <c r="C132" s="18">
        <f>I132/365*B132/100</f>
        <v>0.001384109589041096</v>
      </c>
      <c r="D132" s="11">
        <f>A132*C132</f>
        <v>15.57123287671233</v>
      </c>
      <c r="E132" s="11">
        <f>+E131</f>
        <v>1250</v>
      </c>
      <c r="F132" s="11">
        <f>+D132+E132</f>
        <v>1265.5712328767124</v>
      </c>
      <c r="G132" s="16"/>
      <c r="H132" s="23">
        <v>43344</v>
      </c>
      <c r="I132" s="179">
        <f t="shared" si="32"/>
        <v>1.684</v>
      </c>
      <c r="J132" s="11">
        <f t="shared" si="32"/>
        <v>6</v>
      </c>
    </row>
    <row r="133" spans="1:10" ht="12.75">
      <c r="A133" s="11">
        <f aca="true" t="shared" si="33" ref="A133:A140">+A132-E132</f>
        <v>10000</v>
      </c>
      <c r="B133" s="12">
        <v>31</v>
      </c>
      <c r="C133" s="18">
        <f aca="true" t="shared" si="34" ref="C133:C140">I133/365*B133/100</f>
        <v>0.0014302465753424655</v>
      </c>
      <c r="D133" s="11">
        <f aca="true" t="shared" si="35" ref="D133:D140">A133*C133</f>
        <v>14.302465753424656</v>
      </c>
      <c r="E133" s="11">
        <f aca="true" t="shared" si="36" ref="E133:E140">+E132</f>
        <v>1250</v>
      </c>
      <c r="F133" s="11">
        <f aca="true" t="shared" si="37" ref="F133:F140">+D133+E133</f>
        <v>1264.3024657534247</v>
      </c>
      <c r="G133" s="16"/>
      <c r="H133" s="23">
        <v>43374</v>
      </c>
      <c r="I133" s="179">
        <f aca="true" t="shared" si="38" ref="I133:I140">+I132</f>
        <v>1.684</v>
      </c>
      <c r="J133" s="11">
        <f aca="true" t="shared" si="39" ref="J133:J140">+J132</f>
        <v>6</v>
      </c>
    </row>
    <row r="134" spans="1:10" ht="12.75">
      <c r="A134" s="11">
        <f t="shared" si="33"/>
        <v>8750</v>
      </c>
      <c r="B134" s="12">
        <v>32</v>
      </c>
      <c r="C134" s="18">
        <f t="shared" si="34"/>
        <v>0.0014763835616438356</v>
      </c>
      <c r="D134" s="11">
        <f t="shared" si="35"/>
        <v>12.91835616438356</v>
      </c>
      <c r="E134" s="11">
        <f t="shared" si="36"/>
        <v>1250</v>
      </c>
      <c r="F134" s="11">
        <f t="shared" si="37"/>
        <v>1262.9183561643836</v>
      </c>
      <c r="G134" s="16"/>
      <c r="H134" s="23">
        <v>43405</v>
      </c>
      <c r="I134" s="179">
        <f t="shared" si="38"/>
        <v>1.684</v>
      </c>
      <c r="J134" s="11">
        <f t="shared" si="39"/>
        <v>6</v>
      </c>
    </row>
    <row r="135" spans="1:10" ht="12.75">
      <c r="A135" s="11">
        <f t="shared" si="33"/>
        <v>7500</v>
      </c>
      <c r="B135" s="12">
        <v>33</v>
      </c>
      <c r="C135" s="18">
        <f t="shared" si="34"/>
        <v>0.0015225205479452056</v>
      </c>
      <c r="D135" s="11">
        <f t="shared" si="35"/>
        <v>11.418904109589041</v>
      </c>
      <c r="E135" s="11">
        <f t="shared" si="36"/>
        <v>1250</v>
      </c>
      <c r="F135" s="11">
        <f t="shared" si="37"/>
        <v>1261.418904109589</v>
      </c>
      <c r="G135" s="16">
        <f>SUM(F124:F135)</f>
        <v>15243.026575342466</v>
      </c>
      <c r="H135" s="23">
        <v>43435</v>
      </c>
      <c r="I135" s="179">
        <f t="shared" si="38"/>
        <v>1.684</v>
      </c>
      <c r="J135" s="11">
        <f t="shared" si="39"/>
        <v>6</v>
      </c>
    </row>
    <row r="136" spans="1:10" ht="12.75">
      <c r="A136" s="11">
        <f t="shared" si="33"/>
        <v>6250</v>
      </c>
      <c r="B136" s="12">
        <v>34</v>
      </c>
      <c r="C136" s="18">
        <f t="shared" si="34"/>
        <v>0.0015686575342465754</v>
      </c>
      <c r="D136" s="11">
        <f t="shared" si="35"/>
        <v>9.804109589041095</v>
      </c>
      <c r="E136" s="11">
        <f t="shared" si="36"/>
        <v>1250</v>
      </c>
      <c r="F136" s="11">
        <f t="shared" si="37"/>
        <v>1259.804109589041</v>
      </c>
      <c r="G136" s="16"/>
      <c r="H136" s="23">
        <v>43466</v>
      </c>
      <c r="I136" s="179">
        <f t="shared" si="38"/>
        <v>1.684</v>
      </c>
      <c r="J136" s="11">
        <f t="shared" si="39"/>
        <v>6</v>
      </c>
    </row>
    <row r="137" spans="1:10" ht="12.75">
      <c r="A137" s="11">
        <f t="shared" si="33"/>
        <v>5000</v>
      </c>
      <c r="B137" s="12">
        <v>35</v>
      </c>
      <c r="C137" s="18">
        <f t="shared" si="34"/>
        <v>0.0016147945205479452</v>
      </c>
      <c r="D137" s="11">
        <f t="shared" si="35"/>
        <v>8.073972602739726</v>
      </c>
      <c r="E137" s="11">
        <f t="shared" si="36"/>
        <v>1250</v>
      </c>
      <c r="F137" s="11">
        <f t="shared" si="37"/>
        <v>1258.0739726027398</v>
      </c>
      <c r="G137" s="16"/>
      <c r="H137" s="23">
        <v>43497</v>
      </c>
      <c r="I137" s="179">
        <f t="shared" si="38"/>
        <v>1.684</v>
      </c>
      <c r="J137" s="11">
        <f t="shared" si="39"/>
        <v>6</v>
      </c>
    </row>
    <row r="138" spans="1:10" ht="12.75">
      <c r="A138" s="11">
        <f t="shared" si="33"/>
        <v>3750</v>
      </c>
      <c r="B138" s="12">
        <v>36</v>
      </c>
      <c r="C138" s="18">
        <f t="shared" si="34"/>
        <v>0.001660931506849315</v>
      </c>
      <c r="D138" s="11">
        <f t="shared" si="35"/>
        <v>6.2284931506849315</v>
      </c>
      <c r="E138" s="11">
        <f t="shared" si="36"/>
        <v>1250</v>
      </c>
      <c r="F138" s="11">
        <f t="shared" si="37"/>
        <v>1256.228493150685</v>
      </c>
      <c r="G138" s="16"/>
      <c r="H138" s="23">
        <v>43525</v>
      </c>
      <c r="I138" s="179">
        <f t="shared" si="38"/>
        <v>1.684</v>
      </c>
      <c r="J138" s="11">
        <f t="shared" si="39"/>
        <v>6</v>
      </c>
    </row>
    <row r="139" spans="1:10" ht="12.75">
      <c r="A139" s="11">
        <f t="shared" si="33"/>
        <v>2500</v>
      </c>
      <c r="B139" s="12">
        <v>37</v>
      </c>
      <c r="C139" s="18">
        <f t="shared" si="34"/>
        <v>0.001707068493150685</v>
      </c>
      <c r="D139" s="11">
        <f t="shared" si="35"/>
        <v>4.267671232876713</v>
      </c>
      <c r="E139" s="11">
        <f t="shared" si="36"/>
        <v>1250</v>
      </c>
      <c r="F139" s="11">
        <f t="shared" si="37"/>
        <v>1254.2676712328766</v>
      </c>
      <c r="G139" s="16"/>
      <c r="H139" s="23">
        <v>43556</v>
      </c>
      <c r="I139" s="179">
        <f t="shared" si="38"/>
        <v>1.684</v>
      </c>
      <c r="J139" s="11">
        <f t="shared" si="39"/>
        <v>6</v>
      </c>
    </row>
    <row r="140" spans="1:10" ht="12.75">
      <c r="A140" s="11">
        <f t="shared" si="33"/>
        <v>1250</v>
      </c>
      <c r="B140" s="12">
        <v>38</v>
      </c>
      <c r="C140" s="18">
        <f t="shared" si="34"/>
        <v>0.001753205479452055</v>
      </c>
      <c r="D140" s="11">
        <f t="shared" si="35"/>
        <v>2.191506849315069</v>
      </c>
      <c r="E140" s="11">
        <f t="shared" si="36"/>
        <v>1250</v>
      </c>
      <c r="F140" s="11">
        <f t="shared" si="37"/>
        <v>1252.1915068493151</v>
      </c>
      <c r="G140" s="16">
        <f>SUM(F136:F140)</f>
        <v>6280.5657534246575</v>
      </c>
      <c r="H140" s="23">
        <v>43586</v>
      </c>
      <c r="I140" s="179">
        <f t="shared" si="38"/>
        <v>1.684</v>
      </c>
      <c r="J140" s="11">
        <f t="shared" si="39"/>
        <v>6</v>
      </c>
    </row>
    <row r="141" spans="1:10" ht="24" customHeight="1">
      <c r="A141" s="24"/>
      <c r="B141" s="25"/>
      <c r="C141" s="27"/>
      <c r="D141" s="26">
        <f>SUM(D9:D140)</f>
        <v>13880.350239726024</v>
      </c>
      <c r="E141" s="26">
        <f>SUM(E9:E140)</f>
        <v>150000</v>
      </c>
      <c r="F141" s="26">
        <f>SUM(F9:F140)</f>
        <v>163880.35023972605</v>
      </c>
      <c r="G141" s="26">
        <f>SUM(G9:G140)</f>
        <v>163880.35023972602</v>
      </c>
      <c r="H141" s="24"/>
      <c r="I141" s="24"/>
      <c r="J141" s="26">
        <f>SUM(J9:J68)</f>
        <v>360</v>
      </c>
    </row>
    <row r="142" spans="1:10" ht="24" customHeight="1">
      <c r="A142" s="182"/>
      <c r="B142" s="182"/>
      <c r="C142" s="183"/>
      <c r="D142" s="183" t="s">
        <v>353</v>
      </c>
      <c r="E142" s="183" t="s">
        <v>397</v>
      </c>
      <c r="F142" s="183" t="s">
        <v>398</v>
      </c>
      <c r="G142" s="183"/>
      <c r="H142" s="182"/>
      <c r="I142" s="182"/>
      <c r="J142" s="183"/>
    </row>
    <row r="143" spans="1:10" ht="24" customHeight="1">
      <c r="A143" s="182"/>
      <c r="B143" s="182"/>
      <c r="C143" s="183"/>
      <c r="D143" s="183">
        <v>1884.66</v>
      </c>
      <c r="E143" s="183">
        <f>SUM(E28:E39)</f>
        <v>15000</v>
      </c>
      <c r="F143" s="183">
        <f>+E143+D143</f>
        <v>16884.66</v>
      </c>
      <c r="G143" s="183"/>
      <c r="H143" s="182"/>
      <c r="I143" s="182"/>
      <c r="J143" s="183"/>
    </row>
    <row r="144" spans="1:10" ht="24" customHeight="1">
      <c r="A144" s="182"/>
      <c r="B144" s="182"/>
      <c r="C144" s="200" t="s">
        <v>279</v>
      </c>
      <c r="D144" s="200" t="s">
        <v>281</v>
      </c>
      <c r="E144" s="200" t="s">
        <v>281</v>
      </c>
      <c r="F144" s="183"/>
      <c r="G144" s="183"/>
      <c r="H144" s="182"/>
      <c r="I144" s="182"/>
      <c r="J144" s="183"/>
    </row>
    <row r="145" spans="1:10" ht="24" customHeight="1">
      <c r="A145" s="182"/>
      <c r="B145" s="182"/>
      <c r="C145" s="201">
        <v>41221101</v>
      </c>
      <c r="D145" s="201">
        <v>403305</v>
      </c>
      <c r="E145" s="201">
        <v>550305</v>
      </c>
      <c r="F145" s="183"/>
      <c r="G145" s="183"/>
      <c r="H145" s="182"/>
      <c r="I145" s="182"/>
      <c r="J145" s="183"/>
    </row>
    <row r="146" spans="1:10" ht="20.25" customHeight="1">
      <c r="A146" s="181" t="s">
        <v>287</v>
      </c>
      <c r="B146" s="182"/>
      <c r="C146" s="183"/>
      <c r="D146" s="183">
        <v>0</v>
      </c>
      <c r="E146" s="183"/>
      <c r="F146" s="183"/>
      <c r="G146" s="183"/>
      <c r="H146" s="182"/>
      <c r="I146" s="182"/>
      <c r="J146" s="183"/>
    </row>
    <row r="147" spans="1:10" ht="14.25" customHeight="1">
      <c r="A147" s="184" t="s">
        <v>288</v>
      </c>
      <c r="B147" s="182"/>
      <c r="C147" s="183" t="s">
        <v>289</v>
      </c>
      <c r="E147" s="183"/>
      <c r="F147" s="183"/>
      <c r="G147" s="183"/>
      <c r="H147" s="185"/>
      <c r="I147" s="182"/>
      <c r="J147" s="183"/>
    </row>
    <row r="148" spans="1:10" ht="16.5" customHeight="1">
      <c r="A148" s="184" t="s">
        <v>290</v>
      </c>
      <c r="B148" s="182"/>
      <c r="C148" s="183">
        <v>0</v>
      </c>
      <c r="D148" s="186"/>
      <c r="E148" s="183"/>
      <c r="F148" s="183" t="s">
        <v>291</v>
      </c>
      <c r="G148" s="183"/>
      <c r="H148" s="185">
        <v>0.12</v>
      </c>
      <c r="I148" s="182" t="s">
        <v>292</v>
      </c>
      <c r="J148" s="183"/>
    </row>
    <row r="149" spans="1:10" ht="15">
      <c r="A149" s="187" t="s">
        <v>293</v>
      </c>
      <c r="B149" s="15"/>
      <c r="C149" s="188">
        <v>0</v>
      </c>
      <c r="D149" t="s">
        <v>294</v>
      </c>
      <c r="F149" s="183" t="s">
        <v>295</v>
      </c>
      <c r="G149" s="183"/>
      <c r="H149" s="185">
        <v>0.02</v>
      </c>
      <c r="I149" s="182" t="s">
        <v>296</v>
      </c>
      <c r="J149" s="14"/>
    </row>
    <row r="150" spans="1:10" ht="12.75">
      <c r="A150" s="15" t="s">
        <v>10</v>
      </c>
      <c r="B150" s="15"/>
      <c r="C150" s="30">
        <v>600</v>
      </c>
      <c r="D150" t="s">
        <v>297</v>
      </c>
      <c r="G150"/>
      <c r="H150"/>
      <c r="I150"/>
      <c r="J150" s="14"/>
    </row>
    <row r="151" spans="1:10" ht="12.75">
      <c r="A151" s="15" t="s">
        <v>182</v>
      </c>
      <c r="B151" s="15"/>
      <c r="C151" s="30">
        <f>+J141</f>
        <v>360</v>
      </c>
      <c r="D151" t="s">
        <v>298</v>
      </c>
      <c r="G151"/>
      <c r="H151"/>
      <c r="I151"/>
      <c r="J151" s="14"/>
    </row>
    <row r="152" spans="1:10" ht="12.75">
      <c r="A152" s="15" t="s">
        <v>11</v>
      </c>
      <c r="B152" s="15"/>
      <c r="C152" s="30">
        <f>+D141</f>
        <v>13880.350239726024</v>
      </c>
      <c r="F152" s="15" t="s">
        <v>299</v>
      </c>
      <c r="G152"/>
      <c r="H152" t="s">
        <v>300</v>
      </c>
      <c r="I152"/>
      <c r="J152" s="14"/>
    </row>
    <row r="153" spans="1:10" ht="12.75">
      <c r="A153" s="15" t="s">
        <v>12</v>
      </c>
      <c r="B153" s="15"/>
      <c r="C153" s="30">
        <f>SUM(C148:C152)</f>
        <v>14840.350239726024</v>
      </c>
      <c r="H153"/>
      <c r="I153"/>
      <c r="J153" s="14"/>
    </row>
    <row r="154" spans="1:10" ht="12.75">
      <c r="A154"/>
      <c r="B154"/>
      <c r="C154"/>
      <c r="G154"/>
      <c r="H154"/>
      <c r="I154"/>
      <c r="J154" s="14"/>
    </row>
    <row r="155" spans="1:10" ht="12.75">
      <c r="A155"/>
      <c r="B155"/>
      <c r="C155"/>
      <c r="G155"/>
      <c r="H155"/>
      <c r="I155"/>
      <c r="J155" s="14"/>
    </row>
    <row r="156" spans="1:10" ht="12.75">
      <c r="A156"/>
      <c r="B156"/>
      <c r="C156"/>
      <c r="G156"/>
      <c r="H156"/>
      <c r="I156"/>
      <c r="J156" s="14"/>
    </row>
    <row r="157" spans="1:10" ht="12.75">
      <c r="A157"/>
      <c r="B157"/>
      <c r="C157"/>
      <c r="G157"/>
      <c r="H157"/>
      <c r="I157"/>
      <c r="J157" s="14"/>
    </row>
    <row r="158" spans="1:10" ht="12.75">
      <c r="A158"/>
      <c r="B158"/>
      <c r="C158"/>
      <c r="G158"/>
      <c r="H158"/>
      <c r="I158"/>
      <c r="J158" s="14"/>
    </row>
    <row r="159" spans="1:10" ht="12.75">
      <c r="A159"/>
      <c r="B159"/>
      <c r="C159"/>
      <c r="G159"/>
      <c r="H159"/>
      <c r="I159"/>
      <c r="J159" s="14"/>
    </row>
    <row r="160" spans="1:10" ht="12.75">
      <c r="A160"/>
      <c r="B160"/>
      <c r="C160"/>
      <c r="G160"/>
      <c r="H160"/>
      <c r="I160"/>
      <c r="J160" s="14"/>
    </row>
    <row r="161" spans="1:10" ht="12.75">
      <c r="A161"/>
      <c r="B161"/>
      <c r="C161"/>
      <c r="G161"/>
      <c r="H161"/>
      <c r="I161"/>
      <c r="J161" s="14"/>
    </row>
    <row r="162" spans="1:10" ht="12.75">
      <c r="A162"/>
      <c r="B162"/>
      <c r="C162"/>
      <c r="G162"/>
      <c r="H162"/>
      <c r="I162"/>
      <c r="J162" s="14"/>
    </row>
    <row r="163" spans="1:10" ht="12.75">
      <c r="A163"/>
      <c r="B163"/>
      <c r="C163"/>
      <c r="G163"/>
      <c r="H163"/>
      <c r="I163"/>
      <c r="J163" s="14"/>
    </row>
    <row r="164" spans="1:10" ht="12.75">
      <c r="A164"/>
      <c r="B164"/>
      <c r="C164"/>
      <c r="G164"/>
      <c r="H164"/>
      <c r="I164"/>
      <c r="J164" s="14"/>
    </row>
    <row r="165" spans="1:10" ht="12.75">
      <c r="A165"/>
      <c r="B165"/>
      <c r="C165"/>
      <c r="G165"/>
      <c r="H165"/>
      <c r="I165"/>
      <c r="J165" s="14"/>
    </row>
    <row r="166" spans="1:10" ht="12.75">
      <c r="A166"/>
      <c r="B166"/>
      <c r="C166"/>
      <c r="G166"/>
      <c r="H166"/>
      <c r="I166"/>
      <c r="J166" s="14"/>
    </row>
    <row r="167" spans="1:10" ht="12.75">
      <c r="A167"/>
      <c r="B167"/>
      <c r="C167"/>
      <c r="G167"/>
      <c r="H167"/>
      <c r="I167"/>
      <c r="J167" s="14"/>
    </row>
    <row r="168" spans="1:10" ht="12.75">
      <c r="A168"/>
      <c r="B168"/>
      <c r="C168"/>
      <c r="G168"/>
      <c r="H168"/>
      <c r="I168"/>
      <c r="J168" s="14"/>
    </row>
    <row r="169" spans="1:10" ht="12.75">
      <c r="A169"/>
      <c r="B169"/>
      <c r="C169"/>
      <c r="G169"/>
      <c r="H169"/>
      <c r="I169"/>
      <c r="J169" s="14"/>
    </row>
    <row r="170" spans="1:10" ht="12.75">
      <c r="A170"/>
      <c r="B170"/>
      <c r="C170"/>
      <c r="G170"/>
      <c r="H170"/>
      <c r="I170"/>
      <c r="J170" s="14"/>
    </row>
    <row r="171" spans="1:10" ht="12.75">
      <c r="A171"/>
      <c r="B171"/>
      <c r="C171"/>
      <c r="G171"/>
      <c r="H171"/>
      <c r="I171"/>
      <c r="J171" s="14"/>
    </row>
    <row r="172" spans="1:10" ht="12.75">
      <c r="A172"/>
      <c r="B172"/>
      <c r="C172"/>
      <c r="G172"/>
      <c r="H172"/>
      <c r="I172"/>
      <c r="J172" s="14"/>
    </row>
    <row r="173" spans="1:10" ht="12.75">
      <c r="A173"/>
      <c r="B173"/>
      <c r="C173"/>
      <c r="G173"/>
      <c r="H173"/>
      <c r="I173"/>
      <c r="J173" s="14"/>
    </row>
    <row r="174" spans="1:10" ht="12.75">
      <c r="A174"/>
      <c r="B174"/>
      <c r="C174"/>
      <c r="G174"/>
      <c r="H174"/>
      <c r="I174"/>
      <c r="J174" s="14"/>
    </row>
    <row r="175" spans="1:10" ht="12.75">
      <c r="A175"/>
      <c r="B175"/>
      <c r="C175"/>
      <c r="G175"/>
      <c r="H175"/>
      <c r="I175"/>
      <c r="J175" s="14"/>
    </row>
    <row r="176" spans="1:10" ht="12.75">
      <c r="A176"/>
      <c r="B176"/>
      <c r="C176"/>
      <c r="G176"/>
      <c r="H176"/>
      <c r="I176"/>
      <c r="J176" s="14"/>
    </row>
    <row r="177" spans="1:10" ht="12.75">
      <c r="A177"/>
      <c r="B177"/>
      <c r="C177"/>
      <c r="G177"/>
      <c r="H177"/>
      <c r="I177"/>
      <c r="J177" s="14"/>
    </row>
    <row r="178" spans="1:10" ht="12.75">
      <c r="A178"/>
      <c r="B178"/>
      <c r="C178"/>
      <c r="G178"/>
      <c r="H178"/>
      <c r="I178"/>
      <c r="J178" s="14"/>
    </row>
    <row r="179" spans="1:10" ht="12.75">
      <c r="A179"/>
      <c r="B179"/>
      <c r="C179"/>
      <c r="G179"/>
      <c r="H179"/>
      <c r="I179"/>
      <c r="J179" s="14"/>
    </row>
    <row r="180" spans="1:10" ht="12.75">
      <c r="A180"/>
      <c r="B180"/>
      <c r="C180"/>
      <c r="G180"/>
      <c r="H180"/>
      <c r="I180"/>
      <c r="J180" s="14"/>
    </row>
    <row r="181" spans="1:10" ht="12.75">
      <c r="A181"/>
      <c r="B181"/>
      <c r="C181"/>
      <c r="G181"/>
      <c r="H181"/>
      <c r="I181"/>
      <c r="J181" s="14"/>
    </row>
    <row r="182" spans="1:10" ht="12.75">
      <c r="A182"/>
      <c r="B182"/>
      <c r="C182"/>
      <c r="G182"/>
      <c r="H182"/>
      <c r="I182"/>
      <c r="J182" s="14"/>
    </row>
    <row r="183" spans="1:10" ht="12.75">
      <c r="A183"/>
      <c r="B183"/>
      <c r="C183"/>
      <c r="G183"/>
      <c r="H183"/>
      <c r="I183"/>
      <c r="J183" s="14"/>
    </row>
    <row r="184" spans="1:10" ht="12.75">
      <c r="A184"/>
      <c r="B184"/>
      <c r="C184"/>
      <c r="G184"/>
      <c r="H184"/>
      <c r="I184"/>
      <c r="J184" s="14"/>
    </row>
    <row r="185" spans="1:10" ht="12.75">
      <c r="A185"/>
      <c r="B185"/>
      <c r="C185"/>
      <c r="G185"/>
      <c r="H185"/>
      <c r="I185"/>
      <c r="J185" s="14"/>
    </row>
    <row r="186" spans="1:10" ht="12.75">
      <c r="A186"/>
      <c r="B186"/>
      <c r="C186"/>
      <c r="G186"/>
      <c r="H186"/>
      <c r="I186"/>
      <c r="J186" s="14"/>
    </row>
    <row r="187" spans="1:10" ht="12.75">
      <c r="A187"/>
      <c r="B187"/>
      <c r="C187"/>
      <c r="G187"/>
      <c r="H187"/>
      <c r="I187"/>
      <c r="J187" s="14"/>
    </row>
    <row r="188" spans="1:10" ht="12.75">
      <c r="A188"/>
      <c r="B188"/>
      <c r="C188"/>
      <c r="G188"/>
      <c r="H188"/>
      <c r="I188"/>
      <c r="J188" s="14"/>
    </row>
    <row r="189" spans="1:10" ht="12.75">
      <c r="A189"/>
      <c r="B189"/>
      <c r="C189"/>
      <c r="G189"/>
      <c r="H189"/>
      <c r="I189"/>
      <c r="J189" s="14"/>
    </row>
    <row r="190" spans="1:10" ht="12.75">
      <c r="A190"/>
      <c r="B190"/>
      <c r="C190"/>
      <c r="G190"/>
      <c r="H190"/>
      <c r="I190"/>
      <c r="J190" s="14"/>
    </row>
    <row r="191" spans="1:10" ht="12.75">
      <c r="A191"/>
      <c r="B191"/>
      <c r="C191"/>
      <c r="G191"/>
      <c r="H191"/>
      <c r="I191"/>
      <c r="J191" s="14"/>
    </row>
    <row r="192" spans="1:10" ht="12.75">
      <c r="A192"/>
      <c r="B192"/>
      <c r="C192"/>
      <c r="G192"/>
      <c r="H192"/>
      <c r="I192"/>
      <c r="J192" s="14"/>
    </row>
    <row r="193" spans="1:10" ht="12.75">
      <c r="A193"/>
      <c r="B193"/>
      <c r="C193"/>
      <c r="G193"/>
      <c r="H193"/>
      <c r="I193"/>
      <c r="J193" s="14"/>
    </row>
    <row r="194" spans="1:10" ht="12.75">
      <c r="A194"/>
      <c r="B194"/>
      <c r="C194"/>
      <c r="G194"/>
      <c r="H194"/>
      <c r="I194"/>
      <c r="J194" s="14"/>
    </row>
    <row r="195" spans="1:10" ht="12.75">
      <c r="A195"/>
      <c r="B195"/>
      <c r="C195"/>
      <c r="G195"/>
      <c r="H195"/>
      <c r="I195"/>
      <c r="J195" s="14"/>
    </row>
    <row r="196" spans="1:10" ht="12.75">
      <c r="A196"/>
      <c r="B196"/>
      <c r="C196"/>
      <c r="G196"/>
      <c r="H196"/>
      <c r="I196"/>
      <c r="J196" s="14"/>
    </row>
    <row r="197" spans="1:10" ht="12.75">
      <c r="A197"/>
      <c r="B197"/>
      <c r="C197"/>
      <c r="G197"/>
      <c r="H197"/>
      <c r="I197"/>
      <c r="J197" s="14"/>
    </row>
    <row r="198" spans="1:10" ht="12.75">
      <c r="A198"/>
      <c r="B198"/>
      <c r="C198"/>
      <c r="G198"/>
      <c r="H198"/>
      <c r="I198"/>
      <c r="J198" s="14"/>
    </row>
    <row r="199" spans="1:10" ht="12.75">
      <c r="A199"/>
      <c r="B199"/>
      <c r="C199"/>
      <c r="G199"/>
      <c r="H199"/>
      <c r="I199"/>
      <c r="J199" s="14"/>
    </row>
    <row r="200" spans="1:10" ht="12.75">
      <c r="A200"/>
      <c r="B200"/>
      <c r="C200"/>
      <c r="G200"/>
      <c r="H200"/>
      <c r="I200"/>
      <c r="J200" s="14"/>
    </row>
    <row r="201" spans="1:10" ht="12.75">
      <c r="A201"/>
      <c r="B201"/>
      <c r="C201"/>
      <c r="G201"/>
      <c r="H201"/>
      <c r="I201"/>
      <c r="J201" s="14"/>
    </row>
    <row r="202" spans="1:10" ht="12.75">
      <c r="A202"/>
      <c r="B202"/>
      <c r="C202"/>
      <c r="G202"/>
      <c r="H202"/>
      <c r="I202"/>
      <c r="J202" s="14"/>
    </row>
    <row r="203" spans="1:10" ht="12.75">
      <c r="A203"/>
      <c r="B203"/>
      <c r="C203"/>
      <c r="G203"/>
      <c r="H203"/>
      <c r="I203"/>
      <c r="J203" s="14"/>
    </row>
    <row r="204" spans="1:10" ht="12.75">
      <c r="A204"/>
      <c r="B204"/>
      <c r="C204"/>
      <c r="G204"/>
      <c r="H204"/>
      <c r="I204"/>
      <c r="J204" s="14"/>
    </row>
    <row r="205" spans="1:10" ht="12.75">
      <c r="A205"/>
      <c r="B205"/>
      <c r="C205"/>
      <c r="G205"/>
      <c r="H205"/>
      <c r="I205"/>
      <c r="J205" s="14"/>
    </row>
    <row r="206" spans="1:10" ht="12.75">
      <c r="A206"/>
      <c r="B206"/>
      <c r="C206"/>
      <c r="G206"/>
      <c r="H206"/>
      <c r="I206"/>
      <c r="J206" s="14"/>
    </row>
    <row r="207" spans="1:10" ht="12.75">
      <c r="A207"/>
      <c r="B207"/>
      <c r="C207"/>
      <c r="G207"/>
      <c r="H207"/>
      <c r="I207"/>
      <c r="J207" s="14"/>
    </row>
    <row r="208" spans="1:10" ht="12.75">
      <c r="A208"/>
      <c r="B208"/>
      <c r="C208"/>
      <c r="G208"/>
      <c r="H208"/>
      <c r="I208"/>
      <c r="J208" s="14"/>
    </row>
    <row r="209" spans="1:10" ht="12.75">
      <c r="A209"/>
      <c r="B209"/>
      <c r="C209"/>
      <c r="G209"/>
      <c r="H209"/>
      <c r="I209"/>
      <c r="J209" s="14"/>
    </row>
    <row r="210" spans="1:10" ht="12.75">
      <c r="A210"/>
      <c r="B210"/>
      <c r="C210"/>
      <c r="G210"/>
      <c r="H210"/>
      <c r="I210"/>
      <c r="J210" s="14"/>
    </row>
    <row r="211" spans="1:10" ht="12.75">
      <c r="A211"/>
      <c r="B211"/>
      <c r="C211"/>
      <c r="G211"/>
      <c r="H211"/>
      <c r="I211"/>
      <c r="J211" s="14"/>
    </row>
    <row r="212" spans="1:10" ht="12.75">
      <c r="A212"/>
      <c r="B212"/>
      <c r="C212"/>
      <c r="G212"/>
      <c r="H212"/>
      <c r="I212"/>
      <c r="J212" s="14"/>
    </row>
    <row r="213" spans="1:10" ht="12.75">
      <c r="A213"/>
      <c r="B213"/>
      <c r="C213"/>
      <c r="G213"/>
      <c r="H213"/>
      <c r="I213"/>
      <c r="J213" s="14"/>
    </row>
    <row r="214" spans="1:10" ht="12.75">
      <c r="A214"/>
      <c r="B214"/>
      <c r="C214"/>
      <c r="G214"/>
      <c r="H214"/>
      <c r="I214"/>
      <c r="J214" s="14"/>
    </row>
    <row r="215" spans="1:10" ht="12.75">
      <c r="A215"/>
      <c r="B215"/>
      <c r="C215"/>
      <c r="G215"/>
      <c r="H215"/>
      <c r="I215"/>
      <c r="J215" s="14"/>
    </row>
    <row r="216" spans="1:10" ht="12.75">
      <c r="A216"/>
      <c r="B216"/>
      <c r="C216"/>
      <c r="G216"/>
      <c r="H216"/>
      <c r="I216"/>
      <c r="J216" s="14"/>
    </row>
    <row r="217" spans="1:10" ht="12.75">
      <c r="A217"/>
      <c r="B217"/>
      <c r="C217"/>
      <c r="G217"/>
      <c r="H217"/>
      <c r="I217"/>
      <c r="J217" s="14"/>
    </row>
    <row r="218" spans="1:10" ht="12.75">
      <c r="A218"/>
      <c r="B218"/>
      <c r="C218"/>
      <c r="G218"/>
      <c r="H218"/>
      <c r="I218"/>
      <c r="J218" s="14"/>
    </row>
    <row r="219" spans="1:10" ht="12.75">
      <c r="A219"/>
      <c r="B219"/>
      <c r="C219"/>
      <c r="G219"/>
      <c r="H219"/>
      <c r="I219"/>
      <c r="J219" s="14"/>
    </row>
    <row r="220" spans="1:10" ht="12.75">
      <c r="A220"/>
      <c r="B220"/>
      <c r="C220"/>
      <c r="G220"/>
      <c r="H220"/>
      <c r="I220"/>
      <c r="J220" s="14"/>
    </row>
    <row r="221" spans="1:10" ht="12.75">
      <c r="A221"/>
      <c r="B221"/>
      <c r="C221"/>
      <c r="G221"/>
      <c r="H221"/>
      <c r="I221"/>
      <c r="J221" s="14"/>
    </row>
    <row r="222" spans="1:10" ht="12.75">
      <c r="A222"/>
      <c r="B222"/>
      <c r="C222"/>
      <c r="G222"/>
      <c r="H222"/>
      <c r="I222"/>
      <c r="J222" s="14"/>
    </row>
    <row r="223" spans="1:10" ht="12.75">
      <c r="A223"/>
      <c r="B223"/>
      <c r="C223"/>
      <c r="G223"/>
      <c r="H223"/>
      <c r="I223"/>
      <c r="J223" s="14"/>
    </row>
    <row r="224" spans="1:10" ht="12.75">
      <c r="A224"/>
      <c r="B224"/>
      <c r="C224"/>
      <c r="G224"/>
      <c r="H224"/>
      <c r="I224"/>
      <c r="J224" s="14"/>
    </row>
    <row r="225" spans="1:10" ht="12.75">
      <c r="A225"/>
      <c r="B225"/>
      <c r="C225"/>
      <c r="G225"/>
      <c r="H225"/>
      <c r="I225"/>
      <c r="J225" s="14"/>
    </row>
    <row r="226" spans="1:10" ht="12.75">
      <c r="A226"/>
      <c r="B226"/>
      <c r="C226"/>
      <c r="G226"/>
      <c r="H226"/>
      <c r="I226"/>
      <c r="J226" s="14"/>
    </row>
    <row r="227" spans="1:10" ht="12.75">
      <c r="A227"/>
      <c r="B227"/>
      <c r="C227"/>
      <c r="G227"/>
      <c r="H227"/>
      <c r="I227"/>
      <c r="J227" s="14"/>
    </row>
    <row r="228" spans="1:10" ht="12.75">
      <c r="A228"/>
      <c r="B228"/>
      <c r="C228"/>
      <c r="G228"/>
      <c r="H228"/>
      <c r="I228"/>
      <c r="J228" s="14"/>
    </row>
    <row r="229" spans="1:10" ht="12.75">
      <c r="A229"/>
      <c r="B229"/>
      <c r="C229"/>
      <c r="G229"/>
      <c r="H229"/>
      <c r="I229"/>
      <c r="J229" s="14"/>
    </row>
    <row r="230" spans="1:10" ht="12.75">
      <c r="A230"/>
      <c r="B230"/>
      <c r="C230"/>
      <c r="G230"/>
      <c r="H230"/>
      <c r="I230"/>
      <c r="J230" s="14"/>
    </row>
    <row r="231" spans="1:10" ht="12.75">
      <c r="A231"/>
      <c r="B231"/>
      <c r="C231"/>
      <c r="G231"/>
      <c r="H231"/>
      <c r="I231"/>
      <c r="J231" s="14"/>
    </row>
    <row r="232" spans="1:10" ht="12.75">
      <c r="A232"/>
      <c r="B232"/>
      <c r="C232"/>
      <c r="G232"/>
      <c r="H232"/>
      <c r="I232"/>
      <c r="J232" s="14"/>
    </row>
    <row r="233" spans="1:10" ht="12.75">
      <c r="A233"/>
      <c r="B233"/>
      <c r="C233"/>
      <c r="G233"/>
      <c r="H233"/>
      <c r="I233"/>
      <c r="J233" s="14"/>
    </row>
    <row r="234" spans="1:10" ht="12.75">
      <c r="A234"/>
      <c r="B234"/>
      <c r="C234"/>
      <c r="G234"/>
      <c r="H234"/>
      <c r="I234"/>
      <c r="J234" s="14"/>
    </row>
    <row r="235" spans="1:10" ht="12.75">
      <c r="A235"/>
      <c r="B235"/>
      <c r="C235"/>
      <c r="G235"/>
      <c r="H235"/>
      <c r="I235"/>
      <c r="J235" s="14"/>
    </row>
    <row r="236" spans="1:10" ht="12.75">
      <c r="A236"/>
      <c r="B236"/>
      <c r="C236"/>
      <c r="G236"/>
      <c r="H236"/>
      <c r="I236"/>
      <c r="J236" s="14"/>
    </row>
    <row r="237" spans="1:10" ht="12.75">
      <c r="A237"/>
      <c r="B237"/>
      <c r="C237"/>
      <c r="G237"/>
      <c r="H237"/>
      <c r="I237"/>
      <c r="J237" s="14"/>
    </row>
    <row r="238" spans="1:10" ht="12.75">
      <c r="A238"/>
      <c r="B238"/>
      <c r="C238"/>
      <c r="G238"/>
      <c r="H238"/>
      <c r="I238"/>
      <c r="J238" s="14"/>
    </row>
    <row r="239" spans="1:10" ht="12.75">
      <c r="A239"/>
      <c r="B239"/>
      <c r="C239"/>
      <c r="G239"/>
      <c r="H239"/>
      <c r="I239"/>
      <c r="J239" s="14"/>
    </row>
    <row r="240" spans="1:10" ht="12.75">
      <c r="A240"/>
      <c r="B240"/>
      <c r="C240"/>
      <c r="G240"/>
      <c r="H240"/>
      <c r="I240"/>
      <c r="J240" s="14"/>
    </row>
    <row r="241" spans="1:10" ht="12.75">
      <c r="A241"/>
      <c r="B241"/>
      <c r="C241"/>
      <c r="G241"/>
      <c r="H241"/>
      <c r="I241"/>
      <c r="J241" s="14"/>
    </row>
    <row r="242" spans="1:10" ht="12.75">
      <c r="A242"/>
      <c r="B242"/>
      <c r="C242"/>
      <c r="G242"/>
      <c r="H242"/>
      <c r="I242"/>
      <c r="J242" s="14"/>
    </row>
    <row r="243" spans="1:10" ht="12.75">
      <c r="A243"/>
      <c r="B243"/>
      <c r="C243"/>
      <c r="G243"/>
      <c r="H243"/>
      <c r="I243"/>
      <c r="J243" s="14"/>
    </row>
    <row r="244" spans="1:10" ht="12.75">
      <c r="A244"/>
      <c r="B244"/>
      <c r="C244"/>
      <c r="G244"/>
      <c r="H244"/>
      <c r="I244"/>
      <c r="J244" s="14"/>
    </row>
    <row r="245" spans="1:10" ht="12.75">
      <c r="A245"/>
      <c r="B245"/>
      <c r="C245"/>
      <c r="G245"/>
      <c r="H245"/>
      <c r="I245"/>
      <c r="J245" s="14"/>
    </row>
    <row r="246" spans="1:10" ht="12.75">
      <c r="A246"/>
      <c r="B246"/>
      <c r="C246"/>
      <c r="G246"/>
      <c r="H246"/>
      <c r="I246"/>
      <c r="J246" s="14"/>
    </row>
    <row r="247" spans="1:10" ht="12.75">
      <c r="A247"/>
      <c r="B247"/>
      <c r="C247"/>
      <c r="G247"/>
      <c r="H247"/>
      <c r="I247"/>
      <c r="J247" s="14"/>
    </row>
    <row r="248" spans="1:10" ht="12.75">
      <c r="A248"/>
      <c r="B248"/>
      <c r="C248"/>
      <c r="G248"/>
      <c r="H248"/>
      <c r="I248"/>
      <c r="J248" s="14"/>
    </row>
    <row r="249" spans="1:10" ht="12.75">
      <c r="A249"/>
      <c r="B249"/>
      <c r="C249"/>
      <c r="G249"/>
      <c r="H249"/>
      <c r="I249"/>
      <c r="J249" s="14"/>
    </row>
    <row r="250" spans="1:10" ht="12.75">
      <c r="A250"/>
      <c r="B250"/>
      <c r="C250"/>
      <c r="G250"/>
      <c r="H250"/>
      <c r="I250"/>
      <c r="J250" s="14"/>
    </row>
    <row r="251" spans="1:10" ht="12.75">
      <c r="A251"/>
      <c r="B251"/>
      <c r="C251"/>
      <c r="G251"/>
      <c r="H251"/>
      <c r="I251"/>
      <c r="J251" s="14"/>
    </row>
    <row r="252" spans="1:10" ht="12.75">
      <c r="A252"/>
      <c r="B252"/>
      <c r="C252"/>
      <c r="G252"/>
      <c r="H252"/>
      <c r="I252"/>
      <c r="J252" s="14"/>
    </row>
    <row r="253" spans="1:10" ht="12.75">
      <c r="A253"/>
      <c r="B253"/>
      <c r="C253"/>
      <c r="G253"/>
      <c r="H253"/>
      <c r="I253"/>
      <c r="J253" s="14"/>
    </row>
    <row r="254" spans="1:10" ht="12.75">
      <c r="A254"/>
      <c r="B254"/>
      <c r="C254"/>
      <c r="G254"/>
      <c r="H254"/>
      <c r="I254"/>
      <c r="J254" s="14"/>
    </row>
    <row r="255" spans="1:10" ht="12.75">
      <c r="A255"/>
      <c r="B255"/>
      <c r="C255"/>
      <c r="G255"/>
      <c r="H255"/>
      <c r="I255"/>
      <c r="J255" s="14"/>
    </row>
    <row r="256" spans="1:10" ht="12.75">
      <c r="A256"/>
      <c r="B256"/>
      <c r="C256"/>
      <c r="G256"/>
      <c r="H256"/>
      <c r="I256"/>
      <c r="J256" s="14"/>
    </row>
    <row r="257" spans="1:10" ht="12.75">
      <c r="A257"/>
      <c r="B257"/>
      <c r="C257"/>
      <c r="G257"/>
      <c r="H257"/>
      <c r="I257"/>
      <c r="J257" s="14"/>
    </row>
    <row r="258" spans="1:10" ht="12.75">
      <c r="A258"/>
      <c r="B258"/>
      <c r="C258"/>
      <c r="G258"/>
      <c r="H258"/>
      <c r="I258"/>
      <c r="J258" s="14"/>
    </row>
    <row r="259" spans="1:10" ht="12.75">
      <c r="A259"/>
      <c r="B259"/>
      <c r="C259"/>
      <c r="G259"/>
      <c r="H259"/>
      <c r="I259"/>
      <c r="J259" s="14"/>
    </row>
    <row r="260" spans="1:10" ht="12.75">
      <c r="A260"/>
      <c r="B260"/>
      <c r="C260"/>
      <c r="G260"/>
      <c r="H260"/>
      <c r="I260"/>
      <c r="J260" s="14"/>
    </row>
    <row r="261" spans="1:10" ht="12.75">
      <c r="A261"/>
      <c r="B261"/>
      <c r="C261"/>
      <c r="G261"/>
      <c r="H261"/>
      <c r="I261"/>
      <c r="J261" s="14"/>
    </row>
    <row r="262" spans="1:10" ht="12.75">
      <c r="A262"/>
      <c r="B262"/>
      <c r="C262"/>
      <c r="G262"/>
      <c r="H262"/>
      <c r="I262"/>
      <c r="J262" s="14"/>
    </row>
    <row r="263" spans="1:10" ht="12.75">
      <c r="A263"/>
      <c r="B263"/>
      <c r="C263"/>
      <c r="G263"/>
      <c r="H263"/>
      <c r="I263"/>
      <c r="J263" s="14"/>
    </row>
    <row r="264" spans="1:10" ht="12.75">
      <c r="A264"/>
      <c r="B264"/>
      <c r="C264"/>
      <c r="G264"/>
      <c r="H264"/>
      <c r="I264"/>
      <c r="J264" s="14"/>
    </row>
    <row r="265" spans="1:10" ht="12.75">
      <c r="A265"/>
      <c r="B265"/>
      <c r="C265"/>
      <c r="G265"/>
      <c r="H265"/>
      <c r="I265"/>
      <c r="J265" s="14"/>
    </row>
    <row r="266" spans="1:10" ht="12.75">
      <c r="A266"/>
      <c r="B266"/>
      <c r="C266"/>
      <c r="G266"/>
      <c r="H266"/>
      <c r="I266"/>
      <c r="J266" s="14"/>
    </row>
    <row r="267" spans="1:10" ht="12.75">
      <c r="A267"/>
      <c r="B267"/>
      <c r="C267"/>
      <c r="G267"/>
      <c r="H267"/>
      <c r="I267"/>
      <c r="J267" s="14"/>
    </row>
    <row r="268" spans="1:10" ht="12.75">
      <c r="A268"/>
      <c r="B268"/>
      <c r="C268"/>
      <c r="G268"/>
      <c r="H268"/>
      <c r="I268"/>
      <c r="J268" s="14"/>
    </row>
    <row r="269" spans="1:10" ht="12.75">
      <c r="A269"/>
      <c r="B269"/>
      <c r="C269"/>
      <c r="G269"/>
      <c r="H269"/>
      <c r="I269"/>
      <c r="J269" s="14"/>
    </row>
    <row r="270" spans="1:10" ht="12.75">
      <c r="A270"/>
      <c r="B270"/>
      <c r="C270"/>
      <c r="G270"/>
      <c r="H270"/>
      <c r="I270"/>
      <c r="J270" s="14"/>
    </row>
    <row r="271" spans="1:10" ht="12.75">
      <c r="A271"/>
      <c r="B271"/>
      <c r="C271"/>
      <c r="G271"/>
      <c r="H271"/>
      <c r="I271"/>
      <c r="J271" s="14"/>
    </row>
    <row r="272" spans="1:10" ht="12.75">
      <c r="A272"/>
      <c r="B272"/>
      <c r="C272"/>
      <c r="G272"/>
      <c r="H272"/>
      <c r="I272"/>
      <c r="J272" s="14"/>
    </row>
    <row r="273" spans="1:10" ht="12.75">
      <c r="A273"/>
      <c r="B273"/>
      <c r="C273"/>
      <c r="G273"/>
      <c r="H273"/>
      <c r="I273"/>
      <c r="J273" s="14"/>
    </row>
    <row r="274" spans="1:10" ht="12.75">
      <c r="A274"/>
      <c r="B274"/>
      <c r="C274"/>
      <c r="G274"/>
      <c r="H274"/>
      <c r="I274"/>
      <c r="J274" s="14"/>
    </row>
    <row r="275" spans="1:10" ht="12.75">
      <c r="A275"/>
      <c r="B275"/>
      <c r="C275"/>
      <c r="G275"/>
      <c r="H275"/>
      <c r="I275"/>
      <c r="J275" s="14"/>
    </row>
    <row r="276" spans="1:10" ht="12.75">
      <c r="A276"/>
      <c r="B276"/>
      <c r="C276"/>
      <c r="G276"/>
      <c r="H276"/>
      <c r="I276"/>
      <c r="J276" s="14"/>
    </row>
    <row r="277" spans="1:10" ht="12.75">
      <c r="A277"/>
      <c r="B277"/>
      <c r="C277"/>
      <c r="G277"/>
      <c r="H277"/>
      <c r="I277"/>
      <c r="J277" s="14"/>
    </row>
    <row r="278" spans="1:10" ht="12.75">
      <c r="A278"/>
      <c r="B278"/>
      <c r="C278"/>
      <c r="G278"/>
      <c r="H278"/>
      <c r="I278"/>
      <c r="J278" s="14"/>
    </row>
    <row r="279" spans="1:10" ht="12.75">
      <c r="A279"/>
      <c r="B279"/>
      <c r="C279"/>
      <c r="G279"/>
      <c r="H279"/>
      <c r="I279"/>
      <c r="J279" s="14"/>
    </row>
    <row r="280" spans="1:10" ht="12.75">
      <c r="A280"/>
      <c r="B280"/>
      <c r="C280"/>
      <c r="G280"/>
      <c r="H280"/>
      <c r="I280"/>
      <c r="J280" s="14"/>
    </row>
    <row r="281" spans="1:10" ht="12.75">
      <c r="A281"/>
      <c r="B281"/>
      <c r="C281"/>
      <c r="G281"/>
      <c r="H281"/>
      <c r="I281"/>
      <c r="J281" s="14"/>
    </row>
    <row r="282" spans="1:10" ht="12.75">
      <c r="A282"/>
      <c r="B282"/>
      <c r="C282"/>
      <c r="G282"/>
      <c r="H282"/>
      <c r="I282"/>
      <c r="J282" s="14"/>
    </row>
    <row r="283" spans="1:10" ht="12.75">
      <c r="A283"/>
      <c r="B283"/>
      <c r="C283"/>
      <c r="G283"/>
      <c r="H283"/>
      <c r="I283"/>
      <c r="J283" s="14"/>
    </row>
    <row r="284" spans="1:10" ht="12.75">
      <c r="A284"/>
      <c r="B284"/>
      <c r="C284"/>
      <c r="G284"/>
      <c r="H284"/>
      <c r="I284"/>
      <c r="J284" s="14"/>
    </row>
    <row r="285" spans="1:10" ht="12.75">
      <c r="A285"/>
      <c r="B285"/>
      <c r="C285"/>
      <c r="G285"/>
      <c r="H285"/>
      <c r="I285"/>
      <c r="J285" s="14"/>
    </row>
    <row r="286" spans="1:10" ht="12.75">
      <c r="A286"/>
      <c r="B286"/>
      <c r="C286"/>
      <c r="G286"/>
      <c r="H286"/>
      <c r="I286"/>
      <c r="J286" s="14"/>
    </row>
    <row r="287" spans="1:10" ht="12.75">
      <c r="A287"/>
      <c r="B287"/>
      <c r="C287"/>
      <c r="G287"/>
      <c r="H287"/>
      <c r="I287"/>
      <c r="J287" s="14"/>
    </row>
    <row r="288" spans="1:10" ht="12.75">
      <c r="A288"/>
      <c r="B288"/>
      <c r="C288"/>
      <c r="G288"/>
      <c r="H288"/>
      <c r="I288"/>
      <c r="J288" s="14"/>
    </row>
    <row r="289" spans="1:10" ht="12.75">
      <c r="A289"/>
      <c r="B289"/>
      <c r="C289"/>
      <c r="G289"/>
      <c r="H289"/>
      <c r="I289"/>
      <c r="J289" s="14"/>
    </row>
    <row r="290" spans="1:10" ht="12.75">
      <c r="A290"/>
      <c r="B290"/>
      <c r="C290"/>
      <c r="G290"/>
      <c r="H290"/>
      <c r="I290"/>
      <c r="J290" s="14"/>
    </row>
    <row r="291" spans="1:10" ht="12.75">
      <c r="A291"/>
      <c r="B291"/>
      <c r="C291"/>
      <c r="G291"/>
      <c r="H291"/>
      <c r="I291"/>
      <c r="J291" s="14"/>
    </row>
    <row r="292" spans="1:10" ht="12.75">
      <c r="A292"/>
      <c r="B292"/>
      <c r="C292"/>
      <c r="G292"/>
      <c r="H292"/>
      <c r="I292"/>
      <c r="J292" s="14"/>
    </row>
    <row r="293" spans="1:10" ht="12.75">
      <c r="A293"/>
      <c r="B293"/>
      <c r="C293"/>
      <c r="G293"/>
      <c r="H293"/>
      <c r="I293"/>
      <c r="J293" s="14"/>
    </row>
    <row r="294" spans="1:10" ht="12.75">
      <c r="A294"/>
      <c r="B294"/>
      <c r="C294"/>
      <c r="G294"/>
      <c r="H294"/>
      <c r="I294"/>
      <c r="J294" s="14"/>
    </row>
    <row r="295" spans="1:10" ht="12.75">
      <c r="A295"/>
      <c r="B295"/>
      <c r="C295"/>
      <c r="G295"/>
      <c r="H295"/>
      <c r="I295"/>
      <c r="J295" s="14"/>
    </row>
    <row r="296" spans="1:10" ht="12.75">
      <c r="A296"/>
      <c r="B296"/>
      <c r="C296"/>
      <c r="G296"/>
      <c r="H296"/>
      <c r="I296"/>
      <c r="J296" s="14"/>
    </row>
    <row r="297" spans="1:10" ht="12.75">
      <c r="A297"/>
      <c r="B297"/>
      <c r="C297"/>
      <c r="G297"/>
      <c r="H297"/>
      <c r="I297"/>
      <c r="J297" s="14"/>
    </row>
    <row r="298" spans="1:10" ht="12.75">
      <c r="A298"/>
      <c r="B298"/>
      <c r="C298"/>
      <c r="G298"/>
      <c r="H298"/>
      <c r="I298"/>
      <c r="J298" s="14"/>
    </row>
    <row r="299" spans="1:10" ht="12.75">
      <c r="A299"/>
      <c r="B299"/>
      <c r="C299"/>
      <c r="G299"/>
      <c r="H299"/>
      <c r="I299"/>
      <c r="J299" s="14"/>
    </row>
    <row r="300" spans="1:10" ht="12.75">
      <c r="A300"/>
      <c r="B300"/>
      <c r="C300"/>
      <c r="G300"/>
      <c r="H300"/>
      <c r="I300"/>
      <c r="J300" s="14"/>
    </row>
    <row r="301" spans="1:10" ht="12.75">
      <c r="A301"/>
      <c r="B301"/>
      <c r="C301"/>
      <c r="G301"/>
      <c r="H301"/>
      <c r="I301"/>
      <c r="J301" s="14"/>
    </row>
    <row r="302" spans="1:10" ht="12.75">
      <c r="A302"/>
      <c r="B302"/>
      <c r="C302"/>
      <c r="G302"/>
      <c r="H302"/>
      <c r="I302"/>
      <c r="J302" s="14"/>
    </row>
    <row r="303" spans="1:10" ht="12.75">
      <c r="A303"/>
      <c r="B303"/>
      <c r="C303"/>
      <c r="G303"/>
      <c r="H303"/>
      <c r="I303"/>
      <c r="J303" s="14"/>
    </row>
    <row r="304" spans="1:10" ht="12.75">
      <c r="A304"/>
      <c r="B304"/>
      <c r="C304"/>
      <c r="G304"/>
      <c r="H304"/>
      <c r="I304"/>
      <c r="J304" s="14"/>
    </row>
    <row r="305" spans="1:10" ht="12.75">
      <c r="A305"/>
      <c r="B305"/>
      <c r="C305"/>
      <c r="G305"/>
      <c r="H305"/>
      <c r="I305"/>
      <c r="J305" s="14"/>
    </row>
    <row r="306" spans="1:10" ht="12.75">
      <c r="A306"/>
      <c r="B306"/>
      <c r="C306"/>
      <c r="G306"/>
      <c r="H306"/>
      <c r="I306"/>
      <c r="J306" s="14"/>
    </row>
    <row r="307" spans="1:10" ht="12.75">
      <c r="A307"/>
      <c r="B307"/>
      <c r="C307"/>
      <c r="G307"/>
      <c r="H307"/>
      <c r="I307"/>
      <c r="J307" s="14"/>
    </row>
    <row r="308" spans="1:10" ht="12.75">
      <c r="A308"/>
      <c r="B308"/>
      <c r="C308"/>
      <c r="G308"/>
      <c r="H308"/>
      <c r="I308"/>
      <c r="J308" s="14"/>
    </row>
    <row r="309" spans="1:10" ht="12.75">
      <c r="A309"/>
      <c r="B309"/>
      <c r="C309"/>
      <c r="G309"/>
      <c r="H309"/>
      <c r="I309"/>
      <c r="J309" s="14"/>
    </row>
    <row r="310" spans="1:10" ht="12.75">
      <c r="A310"/>
      <c r="B310"/>
      <c r="C310"/>
      <c r="G310"/>
      <c r="H310"/>
      <c r="I310"/>
      <c r="J310" s="14"/>
    </row>
    <row r="311" spans="1:10" ht="12.75">
      <c r="A311"/>
      <c r="B311"/>
      <c r="C311"/>
      <c r="G311"/>
      <c r="H311"/>
      <c r="I311"/>
      <c r="J311" s="14"/>
    </row>
    <row r="312" spans="1:10" ht="12.75">
      <c r="A312"/>
      <c r="B312"/>
      <c r="C312"/>
      <c r="G312"/>
      <c r="H312"/>
      <c r="I312"/>
      <c r="J312" s="14"/>
    </row>
    <row r="313" spans="1:10" ht="12.75">
      <c r="A313"/>
      <c r="B313"/>
      <c r="C313"/>
      <c r="G313"/>
      <c r="H313"/>
      <c r="I313"/>
      <c r="J313" s="14"/>
    </row>
    <row r="314" spans="1:10" ht="12.75">
      <c r="A314"/>
      <c r="B314"/>
      <c r="C314"/>
      <c r="G314"/>
      <c r="H314"/>
      <c r="I314"/>
      <c r="J314" s="14"/>
    </row>
    <row r="315" spans="1:10" ht="12.75">
      <c r="A315"/>
      <c r="B315"/>
      <c r="C315"/>
      <c r="G315"/>
      <c r="H315"/>
      <c r="I315"/>
      <c r="J315" s="14"/>
    </row>
    <row r="316" spans="1:10" ht="12.75">
      <c r="A316"/>
      <c r="B316"/>
      <c r="C316"/>
      <c r="G316"/>
      <c r="H316"/>
      <c r="I316"/>
      <c r="J316" s="14"/>
    </row>
    <row r="317" spans="1:10" ht="12.75">
      <c r="A317"/>
      <c r="B317"/>
      <c r="C317"/>
      <c r="G317"/>
      <c r="H317"/>
      <c r="I317"/>
      <c r="J317" s="14"/>
    </row>
    <row r="318" spans="1:10" ht="12.75">
      <c r="A318"/>
      <c r="B318"/>
      <c r="C318"/>
      <c r="G318"/>
      <c r="H318"/>
      <c r="I318"/>
      <c r="J318" s="14"/>
    </row>
    <row r="319" spans="1:10" ht="12.75">
      <c r="A319"/>
      <c r="B319"/>
      <c r="C319"/>
      <c r="G319"/>
      <c r="H319"/>
      <c r="I319"/>
      <c r="J319" s="14"/>
    </row>
    <row r="320" spans="1:10" ht="12.75">
      <c r="A320"/>
      <c r="B320"/>
      <c r="C320"/>
      <c r="G320"/>
      <c r="H320"/>
      <c r="I320"/>
      <c r="J320" s="14"/>
    </row>
    <row r="321" spans="1:10" ht="12.75">
      <c r="A321"/>
      <c r="B321"/>
      <c r="C321"/>
      <c r="G321"/>
      <c r="H321"/>
      <c r="I321"/>
      <c r="J321" s="14"/>
    </row>
    <row r="322" spans="1:10" ht="12.75">
      <c r="A322"/>
      <c r="B322"/>
      <c r="C322"/>
      <c r="G322"/>
      <c r="H322"/>
      <c r="I322"/>
      <c r="J322" s="14"/>
    </row>
    <row r="323" spans="1:10" ht="12.75">
      <c r="A323"/>
      <c r="B323"/>
      <c r="C323"/>
      <c r="G323"/>
      <c r="H323"/>
      <c r="I323"/>
      <c r="J323" s="14"/>
    </row>
    <row r="324" spans="1:10" ht="12.75">
      <c r="A324"/>
      <c r="B324"/>
      <c r="C324"/>
      <c r="G324"/>
      <c r="H324"/>
      <c r="I324"/>
      <c r="J324" s="14"/>
    </row>
    <row r="325" spans="1:10" ht="12.75">
      <c r="A325"/>
      <c r="B325"/>
      <c r="C325"/>
      <c r="G325"/>
      <c r="H325"/>
      <c r="I325"/>
      <c r="J325" s="14"/>
    </row>
    <row r="326" spans="1:10" ht="12.75">
      <c r="A326"/>
      <c r="B326"/>
      <c r="C326"/>
      <c r="G326"/>
      <c r="H326"/>
      <c r="I326"/>
      <c r="J326" s="14"/>
    </row>
    <row r="327" spans="1:10" ht="12.75">
      <c r="A327"/>
      <c r="B327"/>
      <c r="C327"/>
      <c r="G327"/>
      <c r="H327"/>
      <c r="I327"/>
      <c r="J327" s="14"/>
    </row>
    <row r="328" spans="1:10" ht="12.75">
      <c r="A328"/>
      <c r="B328"/>
      <c r="C328"/>
      <c r="G328"/>
      <c r="H328"/>
      <c r="I328"/>
      <c r="J328" s="14"/>
    </row>
    <row r="329" spans="1:10" ht="12.75">
      <c r="A329"/>
      <c r="B329"/>
      <c r="C329"/>
      <c r="G329"/>
      <c r="H329"/>
      <c r="I329"/>
      <c r="J329" s="14"/>
    </row>
    <row r="330" spans="1:10" ht="12.75">
      <c r="A330"/>
      <c r="B330"/>
      <c r="C330"/>
      <c r="G330"/>
      <c r="H330"/>
      <c r="I330"/>
      <c r="J330" s="14"/>
    </row>
    <row r="331" spans="1:10" ht="12.75">
      <c r="A331"/>
      <c r="B331"/>
      <c r="C331"/>
      <c r="G331"/>
      <c r="H331"/>
      <c r="I331"/>
      <c r="J331" s="14"/>
    </row>
    <row r="332" spans="1:10" ht="12.75">
      <c r="A332"/>
      <c r="B332"/>
      <c r="C332"/>
      <c r="G332"/>
      <c r="H332"/>
      <c r="I332"/>
      <c r="J332" s="14"/>
    </row>
    <row r="333" spans="1:10" ht="12.75">
      <c r="A333"/>
      <c r="B333"/>
      <c r="C333"/>
      <c r="G333"/>
      <c r="H333"/>
      <c r="I333"/>
      <c r="J333" s="14"/>
    </row>
    <row r="334" spans="1:10" ht="12.75">
      <c r="A334"/>
      <c r="B334"/>
      <c r="C334"/>
      <c r="G334"/>
      <c r="H334"/>
      <c r="I334"/>
      <c r="J334" s="14"/>
    </row>
    <row r="335" spans="1:10" ht="12.75">
      <c r="A335"/>
      <c r="B335"/>
      <c r="C335"/>
      <c r="G335"/>
      <c r="H335"/>
      <c r="I335"/>
      <c r="J335" s="14"/>
    </row>
    <row r="336" spans="1:10" ht="12.75">
      <c r="A336"/>
      <c r="B336"/>
      <c r="C336"/>
      <c r="G336"/>
      <c r="H336"/>
      <c r="I336"/>
      <c r="J336" s="14"/>
    </row>
    <row r="337" spans="1:10" ht="12.75">
      <c r="A337"/>
      <c r="B337"/>
      <c r="C337"/>
      <c r="G337"/>
      <c r="H337"/>
      <c r="I337"/>
      <c r="J337" s="14"/>
    </row>
    <row r="338" spans="1:10" ht="12.75">
      <c r="A338"/>
      <c r="B338"/>
      <c r="C338"/>
      <c r="G338"/>
      <c r="H338"/>
      <c r="I338"/>
      <c r="J338" s="14"/>
    </row>
    <row r="339" spans="1:10" ht="12.75">
      <c r="A339"/>
      <c r="B339"/>
      <c r="C339"/>
      <c r="G339"/>
      <c r="H339"/>
      <c r="I339"/>
      <c r="J339" s="14"/>
    </row>
    <row r="340" spans="1:10" ht="12.75">
      <c r="A340"/>
      <c r="B340"/>
      <c r="C340"/>
      <c r="G340"/>
      <c r="H340"/>
      <c r="I340"/>
      <c r="J340" s="14"/>
    </row>
    <row r="341" spans="1:10" ht="12.75">
      <c r="A341"/>
      <c r="B341"/>
      <c r="C341"/>
      <c r="G341"/>
      <c r="H341"/>
      <c r="I341"/>
      <c r="J341" s="14"/>
    </row>
    <row r="342" spans="1:10" ht="12.75">
      <c r="A342"/>
      <c r="B342"/>
      <c r="C342"/>
      <c r="G342"/>
      <c r="H342"/>
      <c r="I342"/>
      <c r="J342" s="14"/>
    </row>
    <row r="343" spans="1:10" ht="12.75">
      <c r="A343"/>
      <c r="B343"/>
      <c r="C343"/>
      <c r="G343"/>
      <c r="H343"/>
      <c r="I343"/>
      <c r="J343" s="14"/>
    </row>
    <row r="344" spans="1:10" ht="12.75">
      <c r="A344"/>
      <c r="B344"/>
      <c r="C344"/>
      <c r="G344"/>
      <c r="H344"/>
      <c r="I344"/>
      <c r="J344" s="14"/>
    </row>
    <row r="345" spans="1:10" ht="12.75">
      <c r="A345"/>
      <c r="B345"/>
      <c r="C345"/>
      <c r="G345"/>
      <c r="H345"/>
      <c r="I345"/>
      <c r="J345" s="14"/>
    </row>
    <row r="346" spans="1:10" ht="12.75">
      <c r="A346"/>
      <c r="B346"/>
      <c r="C346"/>
      <c r="G346"/>
      <c r="H346"/>
      <c r="I346"/>
      <c r="J346" s="14"/>
    </row>
    <row r="347" spans="1:10" ht="12.75">
      <c r="A347"/>
      <c r="B347"/>
      <c r="C347"/>
      <c r="G347"/>
      <c r="H347"/>
      <c r="I347"/>
      <c r="J347" s="14"/>
    </row>
    <row r="348" spans="1:10" ht="12.75">
      <c r="A348"/>
      <c r="B348"/>
      <c r="C348"/>
      <c r="G348"/>
      <c r="H348"/>
      <c r="I348"/>
      <c r="J348" s="14"/>
    </row>
    <row r="349" spans="1:10" ht="12.75">
      <c r="A349"/>
      <c r="B349"/>
      <c r="C349"/>
      <c r="G349"/>
      <c r="H349"/>
      <c r="I349"/>
      <c r="J349" s="14"/>
    </row>
    <row r="350" spans="1:10" ht="12.75">
      <c r="A350"/>
      <c r="B350"/>
      <c r="C350"/>
      <c r="G350"/>
      <c r="H350"/>
      <c r="I350"/>
      <c r="J350" s="14"/>
    </row>
    <row r="351" spans="1:10" ht="12.75">
      <c r="A351"/>
      <c r="B351"/>
      <c r="C351"/>
      <c r="G351"/>
      <c r="H351"/>
      <c r="I351"/>
      <c r="J351" s="14"/>
    </row>
    <row r="352" spans="1:10" ht="12.75">
      <c r="A352"/>
      <c r="B352"/>
      <c r="C352"/>
      <c r="G352"/>
      <c r="H352"/>
      <c r="I352"/>
      <c r="J352" s="14"/>
    </row>
    <row r="353" spans="1:10" ht="12.75">
      <c r="A353"/>
      <c r="B353"/>
      <c r="C353"/>
      <c r="G353"/>
      <c r="H353"/>
      <c r="I353"/>
      <c r="J353" s="14"/>
    </row>
    <row r="354" spans="1:10" ht="12.75">
      <c r="A354"/>
      <c r="B354"/>
      <c r="C354"/>
      <c r="G354"/>
      <c r="H354"/>
      <c r="I354"/>
      <c r="J354" s="14"/>
    </row>
    <row r="355" spans="1:10" ht="12.75">
      <c r="A355"/>
      <c r="B355"/>
      <c r="C355"/>
      <c r="G355"/>
      <c r="H355"/>
      <c r="I355"/>
      <c r="J355" s="14"/>
    </row>
    <row r="356" spans="1:10" ht="12.75">
      <c r="A356"/>
      <c r="B356"/>
      <c r="C356"/>
      <c r="G356"/>
      <c r="H356"/>
      <c r="I356"/>
      <c r="J356" s="14"/>
    </row>
    <row r="357" spans="1:10" ht="12.75">
      <c r="A357"/>
      <c r="B357"/>
      <c r="C357"/>
      <c r="G357"/>
      <c r="H357"/>
      <c r="I357"/>
      <c r="J357" s="14"/>
    </row>
    <row r="358" spans="1:10" ht="12.75">
      <c r="A358"/>
      <c r="B358"/>
      <c r="C358"/>
      <c r="G358"/>
      <c r="H358"/>
      <c r="I358"/>
      <c r="J358" s="14"/>
    </row>
    <row r="359" spans="1:10" ht="12.75">
      <c r="A359"/>
      <c r="B359"/>
      <c r="C359"/>
      <c r="G359"/>
      <c r="H359"/>
      <c r="I359"/>
      <c r="J359" s="14"/>
    </row>
    <row r="360" spans="1:10" ht="12.75">
      <c r="A360"/>
      <c r="B360"/>
      <c r="C360"/>
      <c r="G360"/>
      <c r="H360"/>
      <c r="I360"/>
      <c r="J360" s="14"/>
    </row>
    <row r="361" spans="1:10" ht="12.75">
      <c r="A361"/>
      <c r="B361"/>
      <c r="C361"/>
      <c r="G361"/>
      <c r="H361"/>
      <c r="I361"/>
      <c r="J361" s="14"/>
    </row>
    <row r="362" spans="1:10" ht="12.75">
      <c r="A362"/>
      <c r="B362"/>
      <c r="C362"/>
      <c r="G362"/>
      <c r="H362"/>
      <c r="I362"/>
      <c r="J362" s="14"/>
    </row>
    <row r="363" spans="1:10" ht="12.75">
      <c r="A363"/>
      <c r="B363"/>
      <c r="C363"/>
      <c r="G363"/>
      <c r="H363"/>
      <c r="I363"/>
      <c r="J363" s="14"/>
    </row>
    <row r="364" spans="1:10" ht="12.75">
      <c r="A364"/>
      <c r="B364"/>
      <c r="C364"/>
      <c r="G364"/>
      <c r="H364"/>
      <c r="I364"/>
      <c r="J364" s="14"/>
    </row>
    <row r="365" spans="1:10" ht="12.75">
      <c r="A365"/>
      <c r="B365"/>
      <c r="C365"/>
      <c r="G365"/>
      <c r="H365"/>
      <c r="I365"/>
      <c r="J365" s="14"/>
    </row>
    <row r="366" spans="1:10" ht="12.75">
      <c r="A366"/>
      <c r="B366"/>
      <c r="C366"/>
      <c r="G366"/>
      <c r="H366"/>
      <c r="I366"/>
      <c r="J366" s="14"/>
    </row>
    <row r="367" spans="1:10" ht="12.75">
      <c r="A367"/>
      <c r="B367"/>
      <c r="C367"/>
      <c r="G367"/>
      <c r="H367"/>
      <c r="I367"/>
      <c r="J367" s="14"/>
    </row>
    <row r="368" spans="1:10" ht="12.75">
      <c r="A368"/>
      <c r="B368"/>
      <c r="C368"/>
      <c r="G368"/>
      <c r="H368"/>
      <c r="I368"/>
      <c r="J368" s="14"/>
    </row>
    <row r="369" spans="1:10" ht="12.75">
      <c r="A369"/>
      <c r="B369"/>
      <c r="C369"/>
      <c r="G369"/>
      <c r="H369"/>
      <c r="I369"/>
      <c r="J369" s="14"/>
    </row>
    <row r="370" spans="1:10" ht="12.75">
      <c r="A370"/>
      <c r="B370"/>
      <c r="C370"/>
      <c r="G370"/>
      <c r="H370"/>
      <c r="I370"/>
      <c r="J370" s="14"/>
    </row>
    <row r="371" spans="1:10" ht="12.75">
      <c r="A371"/>
      <c r="B371"/>
      <c r="C371"/>
      <c r="G371"/>
      <c r="H371"/>
      <c r="I371"/>
      <c r="J371" s="14"/>
    </row>
    <row r="372" spans="1:10" ht="12.75">
      <c r="A372"/>
      <c r="B372"/>
      <c r="C372"/>
      <c r="G372"/>
      <c r="H372"/>
      <c r="I372"/>
      <c r="J372" s="14"/>
    </row>
    <row r="373" spans="1:10" ht="12.75">
      <c r="A373"/>
      <c r="B373"/>
      <c r="C373"/>
      <c r="G373"/>
      <c r="H373"/>
      <c r="I373"/>
      <c r="J373" s="14"/>
    </row>
    <row r="374" spans="1:10" ht="12.75">
      <c r="A374"/>
      <c r="B374"/>
      <c r="C374"/>
      <c r="G374"/>
      <c r="H374"/>
      <c r="I374"/>
      <c r="J374" s="14"/>
    </row>
    <row r="375" spans="1:10" ht="12.75">
      <c r="A375"/>
      <c r="B375"/>
      <c r="C375"/>
      <c r="G375"/>
      <c r="H375"/>
      <c r="I375"/>
      <c r="J375" s="14"/>
    </row>
    <row r="376" spans="1:10" ht="12.75">
      <c r="A376"/>
      <c r="B376"/>
      <c r="C376"/>
      <c r="G376"/>
      <c r="H376"/>
      <c r="I376"/>
      <c r="J376" s="14"/>
    </row>
    <row r="377" spans="1:10" ht="12.75">
      <c r="A377"/>
      <c r="B377"/>
      <c r="C377"/>
      <c r="G377"/>
      <c r="H377"/>
      <c r="I377"/>
      <c r="J377" s="14"/>
    </row>
    <row r="378" spans="1:10" ht="12.75">
      <c r="A378"/>
      <c r="B378"/>
      <c r="C378"/>
      <c r="G378"/>
      <c r="H378"/>
      <c r="I378"/>
      <c r="J378" s="14"/>
    </row>
    <row r="379" spans="1:10" ht="12.75">
      <c r="A379"/>
      <c r="B379"/>
      <c r="C379"/>
      <c r="G379"/>
      <c r="H379"/>
      <c r="I379"/>
      <c r="J379" s="14"/>
    </row>
    <row r="380" spans="1:10" ht="12.75">
      <c r="A380"/>
      <c r="B380"/>
      <c r="C380"/>
      <c r="G380"/>
      <c r="H380"/>
      <c r="I380"/>
      <c r="J380" s="14"/>
    </row>
    <row r="381" spans="1:10" ht="12.75">
      <c r="A381"/>
      <c r="B381"/>
      <c r="C381"/>
      <c r="G381"/>
      <c r="H381"/>
      <c r="I381"/>
      <c r="J381" s="14"/>
    </row>
    <row r="382" spans="1:10" ht="12.75">
      <c r="A382"/>
      <c r="B382"/>
      <c r="C382"/>
      <c r="G382"/>
      <c r="H382"/>
      <c r="I382"/>
      <c r="J382" s="14"/>
    </row>
    <row r="383" spans="1:10" ht="12.75">
      <c r="A383"/>
      <c r="B383"/>
      <c r="C383"/>
      <c r="G383"/>
      <c r="H383"/>
      <c r="I383"/>
      <c r="J383" s="14"/>
    </row>
    <row r="384" spans="1:10" ht="12.75">
      <c r="A384"/>
      <c r="B384"/>
      <c r="C384"/>
      <c r="G384"/>
      <c r="H384"/>
      <c r="I384"/>
      <c r="J384" s="14"/>
    </row>
    <row r="385" spans="1:10" ht="12.75">
      <c r="A385"/>
      <c r="B385"/>
      <c r="C385"/>
      <c r="G385"/>
      <c r="H385"/>
      <c r="I385"/>
      <c r="J385" s="14"/>
    </row>
    <row r="386" spans="1:10" ht="12.75">
      <c r="A386"/>
      <c r="B386"/>
      <c r="C386"/>
      <c r="G386"/>
      <c r="H386"/>
      <c r="I386"/>
      <c r="J386" s="14"/>
    </row>
    <row r="387" spans="1:10" ht="12.75">
      <c r="A387"/>
      <c r="B387"/>
      <c r="C387"/>
      <c r="G387"/>
      <c r="H387"/>
      <c r="I387"/>
      <c r="J387" s="14"/>
    </row>
    <row r="388" spans="1:10" ht="12.75">
      <c r="A388"/>
      <c r="B388"/>
      <c r="C388"/>
      <c r="G388"/>
      <c r="H388"/>
      <c r="I388"/>
      <c r="J388" s="14"/>
    </row>
    <row r="389" spans="1:10" ht="12.75">
      <c r="A389"/>
      <c r="B389"/>
      <c r="C389"/>
      <c r="G389"/>
      <c r="H389"/>
      <c r="I389"/>
      <c r="J389" s="14"/>
    </row>
    <row r="390" spans="1:10" ht="12.75">
      <c r="A390"/>
      <c r="B390"/>
      <c r="C390"/>
      <c r="G390"/>
      <c r="H390"/>
      <c r="I390"/>
      <c r="J390" s="14"/>
    </row>
    <row r="391" spans="1:10" ht="12.75">
      <c r="A391"/>
      <c r="B391"/>
      <c r="C391"/>
      <c r="G391"/>
      <c r="H391"/>
      <c r="I391"/>
      <c r="J391" s="14"/>
    </row>
    <row r="392" spans="1:10" ht="12.75">
      <c r="A392"/>
      <c r="B392"/>
      <c r="C392"/>
      <c r="G392"/>
      <c r="H392"/>
      <c r="I392"/>
      <c r="J392" s="14"/>
    </row>
    <row r="393" spans="1:10" ht="12.75">
      <c r="A393"/>
      <c r="B393"/>
      <c r="C393"/>
      <c r="G393"/>
      <c r="H393"/>
      <c r="I393"/>
      <c r="J393" s="14"/>
    </row>
    <row r="394" spans="1:10" ht="12.75">
      <c r="A394"/>
      <c r="B394"/>
      <c r="C394"/>
      <c r="G394"/>
      <c r="H394"/>
      <c r="I394"/>
      <c r="J394" s="14"/>
    </row>
    <row r="395" spans="1:10" ht="12.75">
      <c r="A395"/>
      <c r="B395"/>
      <c r="C395"/>
      <c r="G395"/>
      <c r="H395"/>
      <c r="I395"/>
      <c r="J395" s="14"/>
    </row>
    <row r="396" spans="1:10" ht="12.75">
      <c r="A396"/>
      <c r="B396"/>
      <c r="C396"/>
      <c r="G396"/>
      <c r="H396"/>
      <c r="I396"/>
      <c r="J396" s="14"/>
    </row>
    <row r="397" spans="1:10" ht="12.75">
      <c r="A397"/>
      <c r="B397"/>
      <c r="C397"/>
      <c r="G397"/>
      <c r="H397"/>
      <c r="I397"/>
      <c r="J397" s="14"/>
    </row>
    <row r="398" spans="1:10" ht="12.75">
      <c r="A398"/>
      <c r="B398"/>
      <c r="C398"/>
      <c r="G398"/>
      <c r="H398"/>
      <c r="I398"/>
      <c r="J398" s="14"/>
    </row>
    <row r="399" spans="1:10" ht="12.75">
      <c r="A399"/>
      <c r="B399"/>
      <c r="C399"/>
      <c r="G399"/>
      <c r="H399"/>
      <c r="I399"/>
      <c r="J399" s="14"/>
    </row>
    <row r="400" spans="1:10" ht="12.75">
      <c r="A400"/>
      <c r="B400"/>
      <c r="C400"/>
      <c r="G400"/>
      <c r="H400"/>
      <c r="I400"/>
      <c r="J400" s="14"/>
    </row>
    <row r="401" spans="1:10" ht="12.75">
      <c r="A401"/>
      <c r="B401"/>
      <c r="C401"/>
      <c r="G401"/>
      <c r="H401"/>
      <c r="I401"/>
      <c r="J401" s="14"/>
    </row>
    <row r="402" spans="1:10" ht="12.75">
      <c r="A402"/>
      <c r="B402"/>
      <c r="C402"/>
      <c r="G402"/>
      <c r="H402"/>
      <c r="I402"/>
      <c r="J402" s="14"/>
    </row>
    <row r="403" spans="1:10" ht="12.75">
      <c r="A403"/>
      <c r="B403"/>
      <c r="C403"/>
      <c r="G403"/>
      <c r="H403"/>
      <c r="I403"/>
      <c r="J403" s="14"/>
    </row>
    <row r="404" spans="1:10" ht="12.75">
      <c r="A404"/>
      <c r="B404"/>
      <c r="C404"/>
      <c r="G404"/>
      <c r="H404"/>
      <c r="I404"/>
      <c r="J404" s="14"/>
    </row>
    <row r="405" spans="1:10" ht="12.75">
      <c r="A405"/>
      <c r="B405"/>
      <c r="C405"/>
      <c r="G405"/>
      <c r="H405"/>
      <c r="I405"/>
      <c r="J405" s="14"/>
    </row>
    <row r="406" spans="1:10" ht="12.75">
      <c r="A406"/>
      <c r="B406"/>
      <c r="C406"/>
      <c r="G406"/>
      <c r="H406"/>
      <c r="I406"/>
      <c r="J406" s="14"/>
    </row>
    <row r="407" spans="1:10" ht="12.75">
      <c r="A407"/>
      <c r="B407"/>
      <c r="C407"/>
      <c r="G407"/>
      <c r="H407"/>
      <c r="I407"/>
      <c r="J407" s="14"/>
    </row>
    <row r="408" spans="1:10" ht="12.75">
      <c r="A408"/>
      <c r="B408"/>
      <c r="C408"/>
      <c r="G408"/>
      <c r="H408"/>
      <c r="I408"/>
      <c r="J408" s="14"/>
    </row>
    <row r="409" spans="1:10" ht="12.75">
      <c r="A409"/>
      <c r="B409"/>
      <c r="C409"/>
      <c r="G409"/>
      <c r="H409"/>
      <c r="I409"/>
      <c r="J409" s="14"/>
    </row>
    <row r="410" spans="1:10" ht="12.75">
      <c r="A410"/>
      <c r="B410"/>
      <c r="C410"/>
      <c r="G410"/>
      <c r="H410"/>
      <c r="I410"/>
      <c r="J410" s="14"/>
    </row>
    <row r="411" spans="1:10" ht="12.75">
      <c r="A411"/>
      <c r="B411"/>
      <c r="C411"/>
      <c r="G411"/>
      <c r="H411"/>
      <c r="I411"/>
      <c r="J411" s="14"/>
    </row>
    <row r="412" spans="1:10" ht="12.75">
      <c r="A412"/>
      <c r="B412"/>
      <c r="C412"/>
      <c r="G412"/>
      <c r="H412"/>
      <c r="I412"/>
      <c r="J412" s="14"/>
    </row>
    <row r="413" spans="1:10" ht="12.75">
      <c r="A413"/>
      <c r="B413"/>
      <c r="C413"/>
      <c r="G413"/>
      <c r="H413"/>
      <c r="I413"/>
      <c r="J413" s="14"/>
    </row>
    <row r="414" spans="1:10" ht="12.75">
      <c r="A414"/>
      <c r="B414"/>
      <c r="C414"/>
      <c r="G414"/>
      <c r="H414"/>
      <c r="I414"/>
      <c r="J414" s="14"/>
    </row>
    <row r="415" spans="1:10" ht="12.75">
      <c r="A415"/>
      <c r="B415"/>
      <c r="C415"/>
      <c r="G415"/>
      <c r="H415"/>
      <c r="I415"/>
      <c r="J415" s="14"/>
    </row>
    <row r="416" spans="1:10" ht="12.75">
      <c r="A416"/>
      <c r="B416"/>
      <c r="C416"/>
      <c r="G416"/>
      <c r="H416"/>
      <c r="I416"/>
      <c r="J416" s="14"/>
    </row>
    <row r="417" spans="1:10" ht="12.75">
      <c r="A417"/>
      <c r="B417"/>
      <c r="C417"/>
      <c r="G417"/>
      <c r="H417"/>
      <c r="I417"/>
      <c r="J417" s="14"/>
    </row>
    <row r="418" spans="1:10" ht="12.75">
      <c r="A418"/>
      <c r="B418"/>
      <c r="C418"/>
      <c r="G418"/>
      <c r="H418"/>
      <c r="I418"/>
      <c r="J418" s="14"/>
    </row>
    <row r="419" spans="1:10" ht="12.75">
      <c r="A419"/>
      <c r="B419"/>
      <c r="C419"/>
      <c r="G419"/>
      <c r="H419"/>
      <c r="I419"/>
      <c r="J419" s="14"/>
    </row>
    <row r="420" spans="1:10" ht="12.75">
      <c r="A420"/>
      <c r="B420"/>
      <c r="C420"/>
      <c r="G420"/>
      <c r="H420"/>
      <c r="I420"/>
      <c r="J420" s="14"/>
    </row>
    <row r="421" spans="1:10" ht="12.75">
      <c r="A421"/>
      <c r="B421"/>
      <c r="C421"/>
      <c r="G421"/>
      <c r="H421"/>
      <c r="I421"/>
      <c r="J421" s="14"/>
    </row>
    <row r="422" spans="1:10" ht="12.75">
      <c r="A422"/>
      <c r="B422"/>
      <c r="C422"/>
      <c r="G422"/>
      <c r="H422"/>
      <c r="I422"/>
      <c r="J422" s="14"/>
    </row>
    <row r="423" spans="1:10" ht="12.75">
      <c r="A423"/>
      <c r="B423"/>
      <c r="C423"/>
      <c r="G423"/>
      <c r="H423"/>
      <c r="I423"/>
      <c r="J423" s="14"/>
    </row>
    <row r="424" spans="1:10" ht="12.75">
      <c r="A424"/>
      <c r="B424"/>
      <c r="C424"/>
      <c r="G424"/>
      <c r="H424"/>
      <c r="I424"/>
      <c r="J424" s="14"/>
    </row>
    <row r="425" spans="1:10" ht="12.75">
      <c r="A425"/>
      <c r="B425"/>
      <c r="C425"/>
      <c r="G425"/>
      <c r="H425"/>
      <c r="I425"/>
      <c r="J425" s="14"/>
    </row>
    <row r="426" spans="1:10" ht="12.75">
      <c r="A426"/>
      <c r="B426"/>
      <c r="C426"/>
      <c r="G426"/>
      <c r="H426"/>
      <c r="I426"/>
      <c r="J426" s="14"/>
    </row>
    <row r="427" spans="1:10" ht="12.75">
      <c r="A427"/>
      <c r="B427"/>
      <c r="C427"/>
      <c r="G427"/>
      <c r="H427"/>
      <c r="I427"/>
      <c r="J427" s="14"/>
    </row>
    <row r="428" spans="1:10" ht="12.75">
      <c r="A428"/>
      <c r="B428"/>
      <c r="C428"/>
      <c r="G428"/>
      <c r="H428"/>
      <c r="I428"/>
      <c r="J428" s="14"/>
    </row>
    <row r="429" spans="1:10" ht="12.75">
      <c r="A429"/>
      <c r="B429"/>
      <c r="C429"/>
      <c r="G429"/>
      <c r="H429"/>
      <c r="I429"/>
      <c r="J429" s="14"/>
    </row>
    <row r="430" spans="1:10" ht="12.75">
      <c r="A430"/>
      <c r="B430"/>
      <c r="C430"/>
      <c r="G430"/>
      <c r="H430"/>
      <c r="I430"/>
      <c r="J430" s="14"/>
    </row>
    <row r="431" spans="1:10" ht="12.75">
      <c r="A431"/>
      <c r="B431"/>
      <c r="C431"/>
      <c r="G431"/>
      <c r="H431"/>
      <c r="I431"/>
      <c r="J431" s="14"/>
    </row>
    <row r="432" spans="1:10" ht="12.75">
      <c r="A432"/>
      <c r="B432"/>
      <c r="C432"/>
      <c r="G432"/>
      <c r="H432"/>
      <c r="I432"/>
      <c r="J432" s="14"/>
    </row>
    <row r="433" spans="1:10" ht="12.75">
      <c r="A433"/>
      <c r="B433"/>
      <c r="C433"/>
      <c r="G433"/>
      <c r="H433"/>
      <c r="I433"/>
      <c r="J433" s="14"/>
    </row>
    <row r="434" spans="1:10" ht="12.75">
      <c r="A434"/>
      <c r="B434"/>
      <c r="C434"/>
      <c r="G434"/>
      <c r="H434"/>
      <c r="I434"/>
      <c r="J434" s="14"/>
    </row>
    <row r="435" spans="1:10" ht="12.75">
      <c r="A435"/>
      <c r="B435"/>
      <c r="C435"/>
      <c r="G435"/>
      <c r="H435"/>
      <c r="I435"/>
      <c r="J435" s="14"/>
    </row>
    <row r="436" spans="1:10" ht="12.75">
      <c r="A436"/>
      <c r="B436"/>
      <c r="C436"/>
      <c r="G436"/>
      <c r="H436"/>
      <c r="I436"/>
      <c r="J436" s="14"/>
    </row>
    <row r="437" spans="1:10" ht="12.75">
      <c r="A437"/>
      <c r="B437"/>
      <c r="C437"/>
      <c r="G437"/>
      <c r="H437"/>
      <c r="I437"/>
      <c r="J437" s="14"/>
    </row>
    <row r="438" spans="1:10" ht="12.75">
      <c r="A438"/>
      <c r="B438"/>
      <c r="C438"/>
      <c r="G438"/>
      <c r="H438"/>
      <c r="I438"/>
      <c r="J438" s="14"/>
    </row>
    <row r="439" spans="1:10" ht="12.75">
      <c r="A439"/>
      <c r="B439"/>
      <c r="C439"/>
      <c r="G439"/>
      <c r="H439"/>
      <c r="I439"/>
      <c r="J439" s="14"/>
    </row>
    <row r="440" spans="1:10" ht="12.75">
      <c r="A440"/>
      <c r="B440"/>
      <c r="C440"/>
      <c r="G440"/>
      <c r="H440"/>
      <c r="I440"/>
      <c r="J440" s="14"/>
    </row>
    <row r="441" spans="1:10" ht="12.75">
      <c r="A441"/>
      <c r="B441"/>
      <c r="C441"/>
      <c r="G441"/>
      <c r="H441"/>
      <c r="I441"/>
      <c r="J441" s="14"/>
    </row>
    <row r="442" spans="1:10" ht="12.75">
      <c r="A442"/>
      <c r="B442"/>
      <c r="C442"/>
      <c r="G442"/>
      <c r="H442"/>
      <c r="I442"/>
      <c r="J442" s="14"/>
    </row>
    <row r="443" spans="1:10" ht="12.75">
      <c r="A443"/>
      <c r="B443"/>
      <c r="C443"/>
      <c r="G443"/>
      <c r="H443"/>
      <c r="I443"/>
      <c r="J443" s="14"/>
    </row>
    <row r="444" spans="1:10" ht="12.75">
      <c r="A444"/>
      <c r="B444"/>
      <c r="C444"/>
      <c r="G444"/>
      <c r="H444"/>
      <c r="I444"/>
      <c r="J444" s="14"/>
    </row>
    <row r="445" spans="1:10" ht="12.75">
      <c r="A445"/>
      <c r="B445"/>
      <c r="C445"/>
      <c r="G445"/>
      <c r="H445"/>
      <c r="I445"/>
      <c r="J445" s="14"/>
    </row>
    <row r="446" spans="1:10" ht="12.75">
      <c r="A446"/>
      <c r="B446"/>
      <c r="C446"/>
      <c r="G446"/>
      <c r="H446"/>
      <c r="I446"/>
      <c r="J446" s="14"/>
    </row>
    <row r="447" spans="1:10" ht="12.75">
      <c r="A447"/>
      <c r="B447"/>
      <c r="C447"/>
      <c r="G447"/>
      <c r="H447"/>
      <c r="I447"/>
      <c r="J447" s="14"/>
    </row>
    <row r="448" spans="1:10" ht="12.75">
      <c r="A448"/>
      <c r="B448"/>
      <c r="C448"/>
      <c r="G448"/>
      <c r="H448"/>
      <c r="I448"/>
      <c r="J448" s="14"/>
    </row>
    <row r="449" spans="1:10" ht="12.75">
      <c r="A449"/>
      <c r="B449"/>
      <c r="C449"/>
      <c r="G449"/>
      <c r="H449"/>
      <c r="I449"/>
      <c r="J449" s="14"/>
    </row>
    <row r="450" spans="1:10" ht="12.75">
      <c r="A450"/>
      <c r="B450"/>
      <c r="C450"/>
      <c r="G450"/>
      <c r="H450"/>
      <c r="I450"/>
      <c r="J450" s="14"/>
    </row>
    <row r="451" spans="1:10" ht="12.75">
      <c r="A451"/>
      <c r="B451"/>
      <c r="C451"/>
      <c r="G451"/>
      <c r="H451"/>
      <c r="I451"/>
      <c r="J451" s="14"/>
    </row>
    <row r="452" spans="1:10" ht="12.75">
      <c r="A452"/>
      <c r="B452"/>
      <c r="C452"/>
      <c r="G452"/>
      <c r="H452"/>
      <c r="I452"/>
      <c r="J452" s="14"/>
    </row>
    <row r="453" spans="1:10" ht="12.75">
      <c r="A453"/>
      <c r="B453"/>
      <c r="C453"/>
      <c r="G453"/>
      <c r="H453"/>
      <c r="I453"/>
      <c r="J453" s="14"/>
    </row>
    <row r="454" spans="1:10" ht="12.75">
      <c r="A454"/>
      <c r="B454"/>
      <c r="C454"/>
      <c r="G454"/>
      <c r="H454"/>
      <c r="I454"/>
      <c r="J454" s="14"/>
    </row>
    <row r="455" spans="1:10" ht="12.75">
      <c r="A455"/>
      <c r="B455"/>
      <c r="C455"/>
      <c r="G455"/>
      <c r="H455"/>
      <c r="I455"/>
      <c r="J455" s="14"/>
    </row>
    <row r="456" spans="1:10" ht="12.75">
      <c r="A456"/>
      <c r="B456"/>
      <c r="C456"/>
      <c r="G456"/>
      <c r="H456"/>
      <c r="I456"/>
      <c r="J456" s="14"/>
    </row>
    <row r="457" spans="1:10" ht="12.75">
      <c r="A457"/>
      <c r="B457"/>
      <c r="C457"/>
      <c r="G457"/>
      <c r="H457"/>
      <c r="I457"/>
      <c r="J457" s="14"/>
    </row>
    <row r="458" spans="1:10" ht="12.75">
      <c r="A458"/>
      <c r="B458"/>
      <c r="C458"/>
      <c r="G458"/>
      <c r="H458"/>
      <c r="I458"/>
      <c r="J458" s="14"/>
    </row>
    <row r="459" spans="1:10" ht="12.75">
      <c r="A459"/>
      <c r="B459"/>
      <c r="C459"/>
      <c r="G459"/>
      <c r="H459"/>
      <c r="I459"/>
      <c r="J459" s="14"/>
    </row>
    <row r="460" spans="1:10" ht="12.75">
      <c r="A460"/>
      <c r="B460"/>
      <c r="C460"/>
      <c r="G460"/>
      <c r="H460"/>
      <c r="I460"/>
      <c r="J460" s="14"/>
    </row>
    <row r="461" spans="1:10" ht="12.75">
      <c r="A461"/>
      <c r="B461"/>
      <c r="C461"/>
      <c r="G461"/>
      <c r="H461"/>
      <c r="I461"/>
      <c r="J461" s="14"/>
    </row>
    <row r="462" spans="1:10" ht="12.75">
      <c r="A462"/>
      <c r="B462"/>
      <c r="C462"/>
      <c r="G462"/>
      <c r="H462"/>
      <c r="I462"/>
      <c r="J462" s="14"/>
    </row>
    <row r="463" spans="1:10" ht="12.75">
      <c r="A463"/>
      <c r="B463"/>
      <c r="C463"/>
      <c r="G463"/>
      <c r="H463"/>
      <c r="I463"/>
      <c r="J463" s="14"/>
    </row>
    <row r="464" spans="1:10" ht="12.75">
      <c r="A464"/>
      <c r="B464"/>
      <c r="C464"/>
      <c r="G464"/>
      <c r="H464"/>
      <c r="I464"/>
      <c r="J464" s="14"/>
    </row>
    <row r="465" spans="1:10" ht="12.75">
      <c r="A465"/>
      <c r="B465"/>
      <c r="C465"/>
      <c r="G465"/>
      <c r="H465"/>
      <c r="I465"/>
      <c r="J465" s="14"/>
    </row>
    <row r="466" spans="1:10" ht="12.75">
      <c r="A466"/>
      <c r="B466"/>
      <c r="C466"/>
      <c r="G466"/>
      <c r="H466"/>
      <c r="I466"/>
      <c r="J466" s="14"/>
    </row>
    <row r="467" spans="1:10" ht="12.75">
      <c r="A467"/>
      <c r="B467"/>
      <c r="C467"/>
      <c r="G467"/>
      <c r="H467"/>
      <c r="I467"/>
      <c r="J467" s="14"/>
    </row>
    <row r="468" spans="1:10" ht="12.75">
      <c r="A468"/>
      <c r="B468"/>
      <c r="C468"/>
      <c r="G468"/>
      <c r="H468"/>
      <c r="I468"/>
      <c r="J468" s="14"/>
    </row>
    <row r="469" spans="1:10" ht="12.75">
      <c r="A469"/>
      <c r="B469"/>
      <c r="C469"/>
      <c r="G469"/>
      <c r="H469"/>
      <c r="I469"/>
      <c r="J469" s="14"/>
    </row>
    <row r="470" spans="1:10" ht="12.75">
      <c r="A470"/>
      <c r="B470"/>
      <c r="C470"/>
      <c r="G470"/>
      <c r="H470"/>
      <c r="I470"/>
      <c r="J470" s="14"/>
    </row>
    <row r="471" spans="1:10" ht="12.75">
      <c r="A471"/>
      <c r="B471"/>
      <c r="C471"/>
      <c r="G471"/>
      <c r="H471"/>
      <c r="I471"/>
      <c r="J471" s="14"/>
    </row>
    <row r="472" spans="1:10" ht="12.75">
      <c r="A472"/>
      <c r="B472"/>
      <c r="C472"/>
      <c r="G472"/>
      <c r="H472"/>
      <c r="I472"/>
      <c r="J472" s="14"/>
    </row>
    <row r="473" spans="1:10" ht="12.75">
      <c r="A473"/>
      <c r="B473"/>
      <c r="C473"/>
      <c r="G473"/>
      <c r="H473"/>
      <c r="I473"/>
      <c r="J473" s="14"/>
    </row>
    <row r="474" spans="1:10" ht="12.75">
      <c r="A474"/>
      <c r="B474"/>
      <c r="C474"/>
      <c r="G474"/>
      <c r="H474"/>
      <c r="I474"/>
      <c r="J474" s="14"/>
    </row>
    <row r="475" spans="1:10" ht="12.75">
      <c r="A475"/>
      <c r="B475"/>
      <c r="C475"/>
      <c r="G475"/>
      <c r="H475"/>
      <c r="I475"/>
      <c r="J475" s="14"/>
    </row>
    <row r="476" spans="1:10" ht="12.75">
      <c r="A476"/>
      <c r="B476"/>
      <c r="C476"/>
      <c r="G476"/>
      <c r="H476"/>
      <c r="I476"/>
      <c r="J476" s="14"/>
    </row>
    <row r="477" spans="1:10" ht="12.75">
      <c r="A477"/>
      <c r="B477"/>
      <c r="C477"/>
      <c r="G477"/>
      <c r="H477"/>
      <c r="I477"/>
      <c r="J477" s="14"/>
    </row>
    <row r="478" spans="1:10" ht="12.75">
      <c r="A478"/>
      <c r="B478"/>
      <c r="C478"/>
      <c r="G478"/>
      <c r="H478"/>
      <c r="I478"/>
      <c r="J478" s="14"/>
    </row>
    <row r="479" spans="1:10" ht="12.75">
      <c r="A479"/>
      <c r="B479"/>
      <c r="C479"/>
      <c r="G479"/>
      <c r="H479"/>
      <c r="I479"/>
      <c r="J479" s="14"/>
    </row>
    <row r="480" spans="1:10" ht="12.75">
      <c r="A480"/>
      <c r="B480"/>
      <c r="C480"/>
      <c r="G480"/>
      <c r="H480"/>
      <c r="I480"/>
      <c r="J480" s="14"/>
    </row>
    <row r="481" spans="1:10" ht="12.75">
      <c r="A481"/>
      <c r="B481"/>
      <c r="C481"/>
      <c r="G481"/>
      <c r="H481"/>
      <c r="I481"/>
      <c r="J481" s="14"/>
    </row>
    <row r="482" spans="1:10" ht="12.75">
      <c r="A482"/>
      <c r="B482"/>
      <c r="C482"/>
      <c r="G482"/>
      <c r="H482"/>
      <c r="I482"/>
      <c r="J482" s="14"/>
    </row>
    <row r="483" spans="1:10" ht="12.75">
      <c r="A483"/>
      <c r="B483"/>
      <c r="C483"/>
      <c r="G483"/>
      <c r="H483"/>
      <c r="I483"/>
      <c r="J483" s="14"/>
    </row>
    <row r="484" spans="1:10" ht="12.75">
      <c r="A484"/>
      <c r="B484"/>
      <c r="C484"/>
      <c r="G484"/>
      <c r="H484"/>
      <c r="I484"/>
      <c r="J484" s="14"/>
    </row>
    <row r="485" spans="1:10" ht="12.75">
      <c r="A485"/>
      <c r="B485"/>
      <c r="C485"/>
      <c r="G485"/>
      <c r="H485"/>
      <c r="I485"/>
      <c r="J485" s="14"/>
    </row>
    <row r="486" spans="1:10" ht="12.75">
      <c r="A486"/>
      <c r="B486"/>
      <c r="C486"/>
      <c r="G486"/>
      <c r="H486"/>
      <c r="I486"/>
      <c r="J486" s="14"/>
    </row>
    <row r="487" spans="1:10" ht="12.75">
      <c r="A487"/>
      <c r="B487"/>
      <c r="C487"/>
      <c r="G487"/>
      <c r="H487"/>
      <c r="I487"/>
      <c r="J487" s="14"/>
    </row>
    <row r="488" spans="1:10" ht="12.75">
      <c r="A488"/>
      <c r="B488"/>
      <c r="C488"/>
      <c r="G488"/>
      <c r="H488"/>
      <c r="I488"/>
      <c r="J488" s="14"/>
    </row>
    <row r="489" spans="1:10" ht="12.75">
      <c r="A489"/>
      <c r="B489"/>
      <c r="C489"/>
      <c r="G489"/>
      <c r="H489"/>
      <c r="I489"/>
      <c r="J489" s="14"/>
    </row>
    <row r="490" spans="1:10" ht="12.75">
      <c r="A490"/>
      <c r="B490"/>
      <c r="C490"/>
      <c r="G490"/>
      <c r="H490"/>
      <c r="I490"/>
      <c r="J490" s="14"/>
    </row>
    <row r="491" spans="1:10" ht="12.75">
      <c r="A491"/>
      <c r="B491"/>
      <c r="C491"/>
      <c r="G491"/>
      <c r="H491"/>
      <c r="I491"/>
      <c r="J491" s="14"/>
    </row>
    <row r="492" spans="1:10" ht="12.75">
      <c r="A492"/>
      <c r="B492"/>
      <c r="C492"/>
      <c r="G492"/>
      <c r="H492"/>
      <c r="I492"/>
      <c r="J492" s="14"/>
    </row>
    <row r="493" spans="1:10" ht="12.75">
      <c r="A493"/>
      <c r="B493"/>
      <c r="C493"/>
      <c r="G493"/>
      <c r="H493"/>
      <c r="I493"/>
      <c r="J493" s="14"/>
    </row>
    <row r="494" spans="1:10" ht="12.75">
      <c r="A494"/>
      <c r="B494"/>
      <c r="C494"/>
      <c r="G494"/>
      <c r="H494"/>
      <c r="I494"/>
      <c r="J494" s="14"/>
    </row>
    <row r="495" spans="1:10" ht="12.75">
      <c r="A495"/>
      <c r="B495"/>
      <c r="C495"/>
      <c r="G495"/>
      <c r="H495"/>
      <c r="I495"/>
      <c r="J495" s="14"/>
    </row>
    <row r="496" spans="1:10" ht="12.75">
      <c r="A496"/>
      <c r="B496"/>
      <c r="C496"/>
      <c r="G496"/>
      <c r="H496"/>
      <c r="I496"/>
      <c r="J496" s="14"/>
    </row>
    <row r="497" spans="1:10" ht="12.75">
      <c r="A497"/>
      <c r="B497"/>
      <c r="C497"/>
      <c r="G497"/>
      <c r="H497"/>
      <c r="I497"/>
      <c r="J497" s="14"/>
    </row>
    <row r="498" spans="1:10" ht="12.75">
      <c r="A498"/>
      <c r="B498"/>
      <c r="C498"/>
      <c r="G498"/>
      <c r="H498"/>
      <c r="I498"/>
      <c r="J498" s="14"/>
    </row>
    <row r="499" spans="1:10" ht="12.75">
      <c r="A499"/>
      <c r="B499"/>
      <c r="C499"/>
      <c r="G499"/>
      <c r="H499"/>
      <c r="I499"/>
      <c r="J499" s="14"/>
    </row>
    <row r="500" spans="1:10" ht="12.75">
      <c r="A500"/>
      <c r="B500"/>
      <c r="C500"/>
      <c r="G500"/>
      <c r="H500"/>
      <c r="I500"/>
      <c r="J500" s="14"/>
    </row>
    <row r="501" spans="1:10" ht="12.75">
      <c r="A501"/>
      <c r="B501"/>
      <c r="C501"/>
      <c r="G501"/>
      <c r="H501"/>
      <c r="I501"/>
      <c r="J501" s="14"/>
    </row>
    <row r="502" spans="1:10" ht="12.75">
      <c r="A502"/>
      <c r="B502"/>
      <c r="C502"/>
      <c r="G502"/>
      <c r="H502"/>
      <c r="I502"/>
      <c r="J502" s="14"/>
    </row>
    <row r="503" spans="1:10" ht="12.75">
      <c r="A503"/>
      <c r="B503"/>
      <c r="C503"/>
      <c r="G503"/>
      <c r="H503"/>
      <c r="I503"/>
      <c r="J503" s="14"/>
    </row>
    <row r="504" spans="1:10" ht="12.75">
      <c r="A504"/>
      <c r="B504"/>
      <c r="C504"/>
      <c r="G504"/>
      <c r="H504"/>
      <c r="I504"/>
      <c r="J504" s="14"/>
    </row>
    <row r="505" spans="1:10" ht="12.75">
      <c r="A505"/>
      <c r="B505"/>
      <c r="C505"/>
      <c r="G505"/>
      <c r="H505"/>
      <c r="I505"/>
      <c r="J505" s="14"/>
    </row>
    <row r="506" spans="1:10" ht="12.75">
      <c r="A506"/>
      <c r="B506"/>
      <c r="C506"/>
      <c r="G506"/>
      <c r="H506"/>
      <c r="I506"/>
      <c r="J506" s="14"/>
    </row>
    <row r="507" spans="1:10" ht="12.75">
      <c r="A507"/>
      <c r="B507"/>
      <c r="C507"/>
      <c r="G507"/>
      <c r="H507"/>
      <c r="I507"/>
      <c r="J507" s="14"/>
    </row>
    <row r="508" spans="1:10" ht="12.75">
      <c r="A508"/>
      <c r="B508"/>
      <c r="C508"/>
      <c r="G508"/>
      <c r="H508"/>
      <c r="I508"/>
      <c r="J508" s="14"/>
    </row>
    <row r="509" spans="1:10" ht="12.75">
      <c r="A509"/>
      <c r="B509"/>
      <c r="C509"/>
      <c r="G509"/>
      <c r="H509"/>
      <c r="I509"/>
      <c r="J509" s="14"/>
    </row>
    <row r="510" spans="1:10" ht="12.75">
      <c r="A510"/>
      <c r="B510"/>
      <c r="C510"/>
      <c r="G510"/>
      <c r="H510"/>
      <c r="I510"/>
      <c r="J510" s="14"/>
    </row>
    <row r="511" spans="1:10" ht="12.75">
      <c r="A511"/>
      <c r="B511"/>
      <c r="C511"/>
      <c r="G511"/>
      <c r="H511"/>
      <c r="I511"/>
      <c r="J511" s="14"/>
    </row>
    <row r="512" spans="1:10" ht="12.75">
      <c r="A512"/>
      <c r="B512"/>
      <c r="C512"/>
      <c r="G512"/>
      <c r="H512"/>
      <c r="I512"/>
      <c r="J512" s="14"/>
    </row>
    <row r="513" spans="1:10" ht="12.75">
      <c r="A513"/>
      <c r="B513"/>
      <c r="C513"/>
      <c r="G513"/>
      <c r="H513"/>
      <c r="I513"/>
      <c r="J513" s="14"/>
    </row>
    <row r="514" spans="1:10" ht="12.75">
      <c r="A514"/>
      <c r="B514"/>
      <c r="C514"/>
      <c r="G514"/>
      <c r="H514"/>
      <c r="I514"/>
      <c r="J514" s="14"/>
    </row>
  </sheetData>
  <mergeCells count="3">
    <mergeCell ref="B5:C5"/>
    <mergeCell ref="A1:H1"/>
    <mergeCell ref="J7:J8"/>
  </mergeCells>
  <printOptions/>
  <pageMargins left="0.32" right="0.48" top="0.43" bottom="0.17" header="0.63" footer="0.5118110236220472"/>
  <pageSetup horizontalDpi="600" verticalDpi="600" orientation="portrait" paperSize="9" scale="67" r:id="rId1"/>
  <headerFooter alignWithMargins="0">
    <oddHeader>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view="pageBreakPreview" zoomScaleSheetLayoutView="100" workbookViewId="0" topLeftCell="A16">
      <selection activeCell="C91" sqref="C91"/>
    </sheetView>
  </sheetViews>
  <sheetFormatPr defaultColWidth="9.140625" defaultRowHeight="12.75"/>
  <cols>
    <col min="1" max="1" width="16.140625" style="0" customWidth="1"/>
    <col min="2" max="2" width="15.28125" style="0" customWidth="1"/>
    <col min="3" max="3" width="15.7109375" style="0" customWidth="1"/>
    <col min="4" max="4" width="14.7109375" style="0" customWidth="1"/>
    <col min="5" max="5" width="14.421875" style="0" customWidth="1"/>
    <col min="6" max="6" width="16.28125" style="0" customWidth="1"/>
    <col min="7" max="7" width="15.7109375" style="0" customWidth="1"/>
    <col min="8" max="8" width="14.00390625" style="0" customWidth="1"/>
    <col min="9" max="9" width="14.57421875" style="15" customWidth="1"/>
    <col min="10" max="10" width="17.00390625" style="0" customWidth="1"/>
    <col min="11" max="11" width="16.28125" style="0" customWidth="1"/>
  </cols>
  <sheetData>
    <row r="1" spans="1:12" ht="18">
      <c r="A1" s="155" t="s">
        <v>248</v>
      </c>
      <c r="B1" s="155"/>
      <c r="C1" s="155"/>
      <c r="D1" s="155"/>
      <c r="E1" s="156"/>
      <c r="F1" s="156"/>
      <c r="G1" s="156"/>
      <c r="H1" s="155"/>
      <c r="I1" s="157"/>
      <c r="J1" s="2"/>
      <c r="K1" s="2"/>
      <c r="L1" s="1"/>
    </row>
    <row r="2" spans="1:12" ht="15.75">
      <c r="A2" s="158"/>
      <c r="B2" s="9" t="s">
        <v>249</v>
      </c>
      <c r="C2" s="9"/>
      <c r="D2" s="9" t="s">
        <v>250</v>
      </c>
      <c r="J2" s="2"/>
      <c r="K2" s="2"/>
      <c r="L2" s="1"/>
    </row>
    <row r="3" spans="1:12" ht="15.75">
      <c r="A3" s="158"/>
      <c r="B3" s="9"/>
      <c r="C3" s="9"/>
      <c r="D3" s="9"/>
      <c r="J3" s="2"/>
      <c r="K3" s="2"/>
      <c r="L3" s="1"/>
    </row>
    <row r="4" spans="1:12" ht="15.75">
      <c r="A4" s="1" t="s">
        <v>251</v>
      </c>
      <c r="B4" s="344">
        <f>16658884/239.64</f>
        <v>69516.29110332165</v>
      </c>
      <c r="C4" s="344"/>
      <c r="D4" s="344"/>
      <c r="H4" s="1"/>
      <c r="I4" s="157"/>
      <c r="J4" s="2"/>
      <c r="K4" s="2"/>
      <c r="L4" s="1"/>
    </row>
    <row r="5" spans="1:12" ht="15.75">
      <c r="A5" s="1" t="s">
        <v>252</v>
      </c>
      <c r="B5" s="353" t="s">
        <v>399</v>
      </c>
      <c r="C5" s="353"/>
      <c r="D5" s="353"/>
      <c r="E5" s="353"/>
      <c r="H5" s="1"/>
      <c r="I5" s="157"/>
      <c r="J5" s="2"/>
      <c r="K5" s="2"/>
      <c r="L5" s="1"/>
    </row>
    <row r="6" spans="1:12" ht="15.75">
      <c r="A6" t="s">
        <v>253</v>
      </c>
      <c r="B6" s="345">
        <f>120000/239.64</f>
        <v>500.7511266900351</v>
      </c>
      <c r="C6" s="345"/>
      <c r="D6" s="345"/>
      <c r="E6" s="9"/>
      <c r="F6" s="9" t="s">
        <v>254</v>
      </c>
      <c r="G6" s="9"/>
      <c r="J6" s="2"/>
      <c r="K6" s="2"/>
      <c r="L6" s="1"/>
    </row>
    <row r="7" spans="1:12" ht="15.75">
      <c r="A7" t="s">
        <v>255</v>
      </c>
      <c r="B7" s="9"/>
      <c r="C7" s="9"/>
      <c r="D7" s="9">
        <f>+G95</f>
        <v>420.6309464196295</v>
      </c>
      <c r="E7" s="9"/>
      <c r="F7" s="354">
        <f>+E95+B6-B4+D7</f>
        <v>11748.776133422338</v>
      </c>
      <c r="G7" s="354"/>
      <c r="H7" s="1"/>
      <c r="I7" s="157"/>
      <c r="J7" s="2"/>
      <c r="K7" s="2"/>
      <c r="L7" s="1"/>
    </row>
    <row r="8" spans="1:12" ht="12.75">
      <c r="A8" s="1"/>
      <c r="B8" s="1"/>
      <c r="C8" s="10"/>
      <c r="D8" s="10"/>
      <c r="H8" s="1"/>
      <c r="I8" s="157"/>
      <c r="J8" s="2"/>
      <c r="K8" s="2"/>
      <c r="L8" s="1"/>
    </row>
    <row r="9" spans="1:9" ht="12.75">
      <c r="A9" s="159" t="s">
        <v>2</v>
      </c>
      <c r="B9" s="160" t="s">
        <v>256</v>
      </c>
      <c r="C9" s="161" t="s">
        <v>257</v>
      </c>
      <c r="D9" s="159" t="s">
        <v>1</v>
      </c>
      <c r="E9" s="160" t="s">
        <v>6</v>
      </c>
      <c r="F9" s="160" t="s">
        <v>9</v>
      </c>
      <c r="G9" s="162" t="s">
        <v>258</v>
      </c>
      <c r="I9"/>
    </row>
    <row r="10" spans="1:9" ht="12.75">
      <c r="A10" s="163"/>
      <c r="B10" s="164" t="s">
        <v>259</v>
      </c>
      <c r="C10" s="163" t="s">
        <v>0</v>
      </c>
      <c r="D10" s="163"/>
      <c r="E10" s="164" t="s">
        <v>5</v>
      </c>
      <c r="F10" s="164"/>
      <c r="G10" s="165"/>
      <c r="I10"/>
    </row>
    <row r="11" spans="1:9" ht="12.75">
      <c r="A11" s="166">
        <f>+B4</f>
        <v>69516.29110332165</v>
      </c>
      <c r="B11" s="24">
        <v>30</v>
      </c>
      <c r="C11" s="166">
        <f aca="true" t="shared" si="0" ref="C11:C42">+A11*5.6%/12</f>
        <v>324.40935848216765</v>
      </c>
      <c r="D11" s="166">
        <f>+A11/84</f>
        <v>827.5748940871625</v>
      </c>
      <c r="E11" s="167">
        <f>SUM(C11:D11)</f>
        <v>1151.9842525693302</v>
      </c>
      <c r="F11" s="168">
        <v>38687</v>
      </c>
      <c r="G11" s="167">
        <v>60.09013520280421</v>
      </c>
      <c r="I11"/>
    </row>
    <row r="12" spans="1:9" ht="12.75">
      <c r="A12" s="166">
        <f aca="true" t="shared" si="1" ref="A12:A43">+A11-D11</f>
        <v>68688.7162092345</v>
      </c>
      <c r="B12" s="24">
        <v>31</v>
      </c>
      <c r="C12" s="166">
        <f t="shared" si="0"/>
        <v>320.54734230976095</v>
      </c>
      <c r="D12" s="166">
        <f aca="true" t="shared" si="2" ref="D12:D43">+D11</f>
        <v>827.5748940871625</v>
      </c>
      <c r="E12" s="167"/>
      <c r="F12" s="168">
        <v>38718</v>
      </c>
      <c r="G12" s="167"/>
      <c r="I12"/>
    </row>
    <row r="13" spans="1:9" ht="12.75">
      <c r="A13" s="166">
        <f t="shared" si="1"/>
        <v>67861.14131514734</v>
      </c>
      <c r="B13" s="24">
        <v>31</v>
      </c>
      <c r="C13" s="166">
        <f t="shared" si="0"/>
        <v>316.68532613735425</v>
      </c>
      <c r="D13" s="166">
        <f t="shared" si="2"/>
        <v>827.5748940871625</v>
      </c>
      <c r="E13" s="167"/>
      <c r="F13" s="168">
        <v>38749</v>
      </c>
      <c r="G13" s="167"/>
      <c r="H13" s="169"/>
      <c r="I13"/>
    </row>
    <row r="14" spans="1:9" ht="12.75">
      <c r="A14" s="166">
        <f t="shared" si="1"/>
        <v>67033.56642106018</v>
      </c>
      <c r="B14" s="24">
        <v>30</v>
      </c>
      <c r="C14" s="166">
        <f t="shared" si="0"/>
        <v>312.8233099649475</v>
      </c>
      <c r="D14" s="166">
        <f t="shared" si="2"/>
        <v>827.5748940871625</v>
      </c>
      <c r="E14" s="167"/>
      <c r="F14" s="168">
        <v>38777</v>
      </c>
      <c r="G14" s="167"/>
      <c r="I14"/>
    </row>
    <row r="15" spans="1:9" ht="12.75">
      <c r="A15" s="166">
        <f t="shared" si="1"/>
        <v>66205.99152697303</v>
      </c>
      <c r="B15" s="24">
        <v>31</v>
      </c>
      <c r="C15" s="166">
        <f t="shared" si="0"/>
        <v>308.96129379254074</v>
      </c>
      <c r="D15" s="166">
        <f t="shared" si="2"/>
        <v>827.5748940871625</v>
      </c>
      <c r="E15" s="167"/>
      <c r="F15" s="168">
        <v>38808</v>
      </c>
      <c r="G15" s="167"/>
      <c r="I15"/>
    </row>
    <row r="16" spans="1:9" ht="12.75">
      <c r="A16" s="166">
        <f t="shared" si="1"/>
        <v>65378.41663288586</v>
      </c>
      <c r="B16" s="24">
        <v>30</v>
      </c>
      <c r="C16" s="166">
        <f t="shared" si="0"/>
        <v>305.099277620134</v>
      </c>
      <c r="D16" s="166">
        <f t="shared" si="2"/>
        <v>827.5748940871625</v>
      </c>
      <c r="E16" s="167"/>
      <c r="F16" s="168">
        <v>38838</v>
      </c>
      <c r="G16" s="167"/>
      <c r="I16"/>
    </row>
    <row r="17" spans="1:9" ht="12.75">
      <c r="A17" s="166">
        <f t="shared" si="1"/>
        <v>64550.8417387987</v>
      </c>
      <c r="B17" s="24">
        <v>31</v>
      </c>
      <c r="C17" s="166">
        <f t="shared" si="0"/>
        <v>301.23726144772724</v>
      </c>
      <c r="D17" s="166">
        <f t="shared" si="2"/>
        <v>827.5748940871625</v>
      </c>
      <c r="E17" s="167"/>
      <c r="F17" s="168">
        <v>38869</v>
      </c>
      <c r="G17" s="167"/>
      <c r="I17"/>
    </row>
    <row r="18" spans="1:9" ht="12.75">
      <c r="A18" s="166">
        <f t="shared" si="1"/>
        <v>63723.266844711536</v>
      </c>
      <c r="B18" s="24">
        <v>31</v>
      </c>
      <c r="C18" s="166">
        <f t="shared" si="0"/>
        <v>297.3752452753205</v>
      </c>
      <c r="D18" s="166">
        <f t="shared" si="2"/>
        <v>827.5748940871625</v>
      </c>
      <c r="E18" s="167"/>
      <c r="F18" s="168">
        <v>38899</v>
      </c>
      <c r="G18" s="167"/>
      <c r="I18"/>
    </row>
    <row r="19" spans="1:9" ht="12.75">
      <c r="A19" s="166">
        <f t="shared" si="1"/>
        <v>62895.69195062437</v>
      </c>
      <c r="B19" s="24">
        <v>28</v>
      </c>
      <c r="C19" s="166">
        <f t="shared" si="0"/>
        <v>293.5132291029137</v>
      </c>
      <c r="D19" s="166">
        <f t="shared" si="2"/>
        <v>827.5748940871625</v>
      </c>
      <c r="E19" s="167"/>
      <c r="F19" s="168">
        <v>38930</v>
      </c>
      <c r="G19" s="167"/>
      <c r="I19"/>
    </row>
    <row r="20" spans="1:9" ht="12.75">
      <c r="A20" s="166">
        <f t="shared" si="1"/>
        <v>62068.11705653721</v>
      </c>
      <c r="B20" s="24">
        <v>31</v>
      </c>
      <c r="C20" s="166">
        <f t="shared" si="0"/>
        <v>289.6512129305069</v>
      </c>
      <c r="D20" s="166">
        <f t="shared" si="2"/>
        <v>827.5748940871625</v>
      </c>
      <c r="E20" s="167"/>
      <c r="F20" s="168">
        <v>38961</v>
      </c>
      <c r="G20" s="167"/>
      <c r="I20"/>
    </row>
    <row r="21" spans="1:9" ht="12.75">
      <c r="A21" s="166">
        <f t="shared" si="1"/>
        <v>61240.542162450045</v>
      </c>
      <c r="B21" s="24">
        <v>30</v>
      </c>
      <c r="C21" s="166">
        <f t="shared" si="0"/>
        <v>285.7891967581002</v>
      </c>
      <c r="D21" s="166">
        <f t="shared" si="2"/>
        <v>827.5748940871625</v>
      </c>
      <c r="E21" s="167"/>
      <c r="F21" s="168">
        <v>38991</v>
      </c>
      <c r="G21" s="167"/>
      <c r="I21"/>
    </row>
    <row r="22" spans="1:9" ht="12.75">
      <c r="A22" s="166">
        <f t="shared" si="1"/>
        <v>60412.96726836288</v>
      </c>
      <c r="B22" s="24">
        <v>31</v>
      </c>
      <c r="C22" s="166">
        <f t="shared" si="0"/>
        <v>281.9271805856934</v>
      </c>
      <c r="D22" s="166">
        <f t="shared" si="2"/>
        <v>827.5748940871625</v>
      </c>
      <c r="E22" s="167"/>
      <c r="F22" s="168">
        <v>39022</v>
      </c>
      <c r="G22" s="167"/>
      <c r="I22"/>
    </row>
    <row r="23" spans="1:9" ht="12.75">
      <c r="A23" s="166">
        <f t="shared" si="1"/>
        <v>59585.39237427572</v>
      </c>
      <c r="B23" s="24">
        <v>30</v>
      </c>
      <c r="C23" s="166">
        <f t="shared" si="0"/>
        <v>278.06516441328665</v>
      </c>
      <c r="D23" s="166">
        <f t="shared" si="2"/>
        <v>827.5748940871625</v>
      </c>
      <c r="E23" s="167">
        <f>SUM(C12:D23)</f>
        <v>13522.573769384231</v>
      </c>
      <c r="F23" s="168">
        <v>39052</v>
      </c>
      <c r="G23" s="167"/>
      <c r="I23"/>
    </row>
    <row r="24" spans="1:9" ht="12.75">
      <c r="A24" s="166">
        <f t="shared" si="1"/>
        <v>58757.817480188554</v>
      </c>
      <c r="B24" s="24">
        <v>31</v>
      </c>
      <c r="C24" s="166">
        <f t="shared" si="0"/>
        <v>274.2031482408799</v>
      </c>
      <c r="D24" s="166">
        <f t="shared" si="2"/>
        <v>827.5748940871625</v>
      </c>
      <c r="E24" s="167"/>
      <c r="F24" s="168">
        <v>39083</v>
      </c>
      <c r="G24" s="167"/>
      <c r="I24"/>
    </row>
    <row r="25" spans="1:9" ht="12.75">
      <c r="A25" s="166">
        <f t="shared" si="1"/>
        <v>57930.24258610139</v>
      </c>
      <c r="B25" s="24">
        <v>31</v>
      </c>
      <c r="C25" s="166">
        <f t="shared" si="0"/>
        <v>270.34113206847314</v>
      </c>
      <c r="D25" s="166">
        <f t="shared" si="2"/>
        <v>827.5748940871625</v>
      </c>
      <c r="E25" s="167"/>
      <c r="F25" s="168">
        <v>39114</v>
      </c>
      <c r="G25" s="167"/>
      <c r="I25"/>
    </row>
    <row r="26" spans="1:9" ht="12.75">
      <c r="A26" s="166">
        <f t="shared" si="1"/>
        <v>57102.66769201423</v>
      </c>
      <c r="B26" s="24">
        <v>30</v>
      </c>
      <c r="C26" s="166">
        <f t="shared" si="0"/>
        <v>266.4791158960664</v>
      </c>
      <c r="D26" s="166">
        <f t="shared" si="2"/>
        <v>827.5748940871625</v>
      </c>
      <c r="E26" s="167"/>
      <c r="F26" s="168">
        <v>39142</v>
      </c>
      <c r="G26" s="167"/>
      <c r="I26"/>
    </row>
    <row r="27" spans="1:9" ht="12.75">
      <c r="A27" s="166">
        <f t="shared" si="1"/>
        <v>56275.092797927064</v>
      </c>
      <c r="B27" s="24">
        <v>31</v>
      </c>
      <c r="C27" s="166">
        <f t="shared" si="0"/>
        <v>262.6170997236596</v>
      </c>
      <c r="D27" s="166">
        <f t="shared" si="2"/>
        <v>827.5748940871625</v>
      </c>
      <c r="E27" s="167"/>
      <c r="F27" s="168">
        <v>39173</v>
      </c>
      <c r="G27" s="167"/>
      <c r="I27"/>
    </row>
    <row r="28" spans="1:9" ht="12.75">
      <c r="A28" s="166">
        <f t="shared" si="1"/>
        <v>55447.5179038399</v>
      </c>
      <c r="B28" s="24">
        <v>30</v>
      </c>
      <c r="C28" s="166">
        <f t="shared" si="0"/>
        <v>258.7550835512528</v>
      </c>
      <c r="D28" s="166">
        <f t="shared" si="2"/>
        <v>827.5748940871625</v>
      </c>
      <c r="E28" s="167"/>
      <c r="F28" s="168">
        <v>39203</v>
      </c>
      <c r="G28" s="167"/>
      <c r="I28"/>
    </row>
    <row r="29" spans="1:9" ht="12.75">
      <c r="A29" s="166">
        <f t="shared" si="1"/>
        <v>54619.94300975274</v>
      </c>
      <c r="B29" s="24">
        <v>31</v>
      </c>
      <c r="C29" s="166">
        <f t="shared" si="0"/>
        <v>254.8930673788461</v>
      </c>
      <c r="D29" s="166">
        <f t="shared" si="2"/>
        <v>827.5748940871625</v>
      </c>
      <c r="E29" s="167"/>
      <c r="F29" s="168">
        <v>39234</v>
      </c>
      <c r="G29" s="167">
        <v>60.09013520280421</v>
      </c>
      <c r="I29"/>
    </row>
    <row r="30" spans="1:9" ht="12.75">
      <c r="A30" s="166">
        <f t="shared" si="1"/>
        <v>53792.36811566557</v>
      </c>
      <c r="B30" s="24">
        <v>31</v>
      </c>
      <c r="C30" s="166">
        <f t="shared" si="0"/>
        <v>251.03105120643932</v>
      </c>
      <c r="D30" s="166">
        <f t="shared" si="2"/>
        <v>827.5748940871625</v>
      </c>
      <c r="E30" s="167"/>
      <c r="F30" s="168">
        <v>39264</v>
      </c>
      <c r="G30" s="167"/>
      <c r="I30"/>
    </row>
    <row r="31" spans="1:9" ht="12.75">
      <c r="A31" s="166">
        <f t="shared" si="1"/>
        <v>52964.79322157841</v>
      </c>
      <c r="B31" s="24">
        <v>28</v>
      </c>
      <c r="C31" s="166">
        <f t="shared" si="0"/>
        <v>247.16903503403253</v>
      </c>
      <c r="D31" s="166">
        <f t="shared" si="2"/>
        <v>827.5748940871625</v>
      </c>
      <c r="E31" s="167"/>
      <c r="F31" s="168">
        <v>39295</v>
      </c>
      <c r="G31" s="167"/>
      <c r="I31"/>
    </row>
    <row r="32" spans="1:9" ht="12.75">
      <c r="A32" s="166">
        <f t="shared" si="1"/>
        <v>52137.218327491246</v>
      </c>
      <c r="B32" s="24">
        <v>31</v>
      </c>
      <c r="C32" s="166">
        <f t="shared" si="0"/>
        <v>243.3070188616258</v>
      </c>
      <c r="D32" s="166">
        <f t="shared" si="2"/>
        <v>827.5748940871625</v>
      </c>
      <c r="E32" s="167"/>
      <c r="F32" s="168">
        <v>39326</v>
      </c>
      <c r="G32" s="167"/>
      <c r="I32"/>
    </row>
    <row r="33" spans="1:9" ht="12.75">
      <c r="A33" s="166">
        <f t="shared" si="1"/>
        <v>51309.64343340408</v>
      </c>
      <c r="B33" s="24">
        <v>30</v>
      </c>
      <c r="C33" s="166">
        <f t="shared" si="0"/>
        <v>239.44500268921902</v>
      </c>
      <c r="D33" s="166">
        <f t="shared" si="2"/>
        <v>827.5748940871625</v>
      </c>
      <c r="E33" s="167"/>
      <c r="F33" s="168">
        <v>39356</v>
      </c>
      <c r="G33" s="167"/>
      <c r="I33"/>
    </row>
    <row r="34" spans="1:9" ht="12.75">
      <c r="A34" s="166">
        <f t="shared" si="1"/>
        <v>50482.06853931692</v>
      </c>
      <c r="B34" s="24">
        <v>31</v>
      </c>
      <c r="C34" s="166">
        <f t="shared" si="0"/>
        <v>235.58298651681227</v>
      </c>
      <c r="D34" s="166">
        <f t="shared" si="2"/>
        <v>827.5748940871625</v>
      </c>
      <c r="E34" s="167"/>
      <c r="F34" s="168">
        <v>39387</v>
      </c>
      <c r="G34" s="167"/>
      <c r="I34"/>
    </row>
    <row r="35" spans="1:9" ht="12.75">
      <c r="A35" s="166">
        <f t="shared" si="1"/>
        <v>49654.493645229755</v>
      </c>
      <c r="B35" s="24">
        <v>30</v>
      </c>
      <c r="C35" s="166">
        <f t="shared" si="0"/>
        <v>231.7209703444055</v>
      </c>
      <c r="D35" s="166">
        <f t="shared" si="2"/>
        <v>827.5748940871625</v>
      </c>
      <c r="E35" s="167">
        <f>SUM(C24:D35)</f>
        <v>12966.443440557661</v>
      </c>
      <c r="F35" s="168">
        <v>39417</v>
      </c>
      <c r="G35" s="167"/>
      <c r="H35" s="1"/>
      <c r="I35"/>
    </row>
    <row r="36" spans="1:9" ht="12.75">
      <c r="A36" s="166">
        <f t="shared" si="1"/>
        <v>48826.91875114259</v>
      </c>
      <c r="B36" s="24">
        <v>31</v>
      </c>
      <c r="C36" s="166">
        <f t="shared" si="0"/>
        <v>227.85895417199876</v>
      </c>
      <c r="D36" s="166">
        <f t="shared" si="2"/>
        <v>827.5748940871625</v>
      </c>
      <c r="E36" s="167"/>
      <c r="F36" s="168">
        <v>39448</v>
      </c>
      <c r="G36" s="167"/>
      <c r="I36"/>
    </row>
    <row r="37" spans="1:9" ht="12.75">
      <c r="A37" s="166">
        <f t="shared" si="1"/>
        <v>47999.34385705543</v>
      </c>
      <c r="B37" s="24">
        <v>31</v>
      </c>
      <c r="C37" s="166">
        <f t="shared" si="0"/>
        <v>223.99693799959198</v>
      </c>
      <c r="D37" s="166">
        <f t="shared" si="2"/>
        <v>827.5748940871625</v>
      </c>
      <c r="E37" s="167"/>
      <c r="F37" s="168">
        <v>39479</v>
      </c>
      <c r="G37" s="167"/>
      <c r="I37"/>
    </row>
    <row r="38" spans="1:9" ht="12.75">
      <c r="A38" s="166">
        <f t="shared" si="1"/>
        <v>47171.768962968265</v>
      </c>
      <c r="B38" s="24">
        <v>30</v>
      </c>
      <c r="C38" s="166">
        <f t="shared" si="0"/>
        <v>220.1349218271852</v>
      </c>
      <c r="D38" s="166">
        <f t="shared" si="2"/>
        <v>827.5748940871625</v>
      </c>
      <c r="E38" s="167"/>
      <c r="F38" s="168">
        <v>39508</v>
      </c>
      <c r="G38" s="167"/>
      <c r="I38"/>
    </row>
    <row r="39" spans="1:9" ht="12.75">
      <c r="A39" s="166">
        <f t="shared" si="1"/>
        <v>46344.1940688811</v>
      </c>
      <c r="B39" s="24">
        <v>31</v>
      </c>
      <c r="C39" s="166">
        <f t="shared" si="0"/>
        <v>216.27290565477844</v>
      </c>
      <c r="D39" s="166">
        <f t="shared" si="2"/>
        <v>827.5748940871625</v>
      </c>
      <c r="E39" s="167"/>
      <c r="F39" s="168">
        <v>39539</v>
      </c>
      <c r="G39" s="167"/>
      <c r="I39"/>
    </row>
    <row r="40" spans="1:9" ht="12.75">
      <c r="A40" s="166">
        <f t="shared" si="1"/>
        <v>45516.61917479394</v>
      </c>
      <c r="B40" s="24">
        <v>30</v>
      </c>
      <c r="C40" s="166">
        <f t="shared" si="0"/>
        <v>212.4108894823717</v>
      </c>
      <c r="D40" s="166">
        <f t="shared" si="2"/>
        <v>827.5748940871625</v>
      </c>
      <c r="E40" s="167"/>
      <c r="F40" s="168">
        <v>39569</v>
      </c>
      <c r="G40" s="167"/>
      <c r="I40"/>
    </row>
    <row r="41" spans="1:9" ht="12.75">
      <c r="A41" s="166">
        <f t="shared" si="1"/>
        <v>44689.044280706774</v>
      </c>
      <c r="B41" s="24">
        <v>31</v>
      </c>
      <c r="C41" s="166">
        <f t="shared" si="0"/>
        <v>208.54887330996493</v>
      </c>
      <c r="D41" s="166">
        <f t="shared" si="2"/>
        <v>827.5748940871625</v>
      </c>
      <c r="E41" s="167"/>
      <c r="F41" s="168">
        <v>39600</v>
      </c>
      <c r="G41" s="167">
        <v>60.09013520280421</v>
      </c>
      <c r="I41"/>
    </row>
    <row r="42" spans="1:9" ht="12.75">
      <c r="A42" s="166">
        <f t="shared" si="1"/>
        <v>43861.46938661961</v>
      </c>
      <c r="B42" s="24">
        <v>31</v>
      </c>
      <c r="C42" s="166">
        <f t="shared" si="0"/>
        <v>204.68685713755815</v>
      </c>
      <c r="D42" s="166">
        <f t="shared" si="2"/>
        <v>827.5748940871625</v>
      </c>
      <c r="E42" s="167"/>
      <c r="F42" s="168">
        <v>39630</v>
      </c>
      <c r="G42" s="167"/>
      <c r="I42"/>
    </row>
    <row r="43" spans="1:9" ht="12.75">
      <c r="A43" s="166">
        <f t="shared" si="1"/>
        <v>43033.89449253245</v>
      </c>
      <c r="B43" s="24">
        <v>29</v>
      </c>
      <c r="C43" s="166">
        <f>+A43*5.6%/12</f>
        <v>200.82484096515142</v>
      </c>
      <c r="D43" s="166">
        <f t="shared" si="2"/>
        <v>827.5748940871625</v>
      </c>
      <c r="E43" s="167"/>
      <c r="F43" s="168">
        <v>39661</v>
      </c>
      <c r="G43" s="167"/>
      <c r="I43"/>
    </row>
    <row r="44" spans="1:9" ht="12.75">
      <c r="A44" s="166">
        <f aca="true" t="shared" si="3" ref="A44:A75">+A43-D43</f>
        <v>42206.31959844528</v>
      </c>
      <c r="B44" s="24">
        <v>31</v>
      </c>
      <c r="C44" s="166">
        <f>+A44*5.6%/12</f>
        <v>196.96282479274464</v>
      </c>
      <c r="D44" s="166">
        <f aca="true" t="shared" si="4" ref="D44:D75">+D43</f>
        <v>827.5748940871625</v>
      </c>
      <c r="E44" s="167"/>
      <c r="F44" s="168">
        <v>39692</v>
      </c>
      <c r="G44" s="167"/>
      <c r="I44"/>
    </row>
    <row r="45" spans="1:9" ht="12.75">
      <c r="A45" s="166">
        <f t="shared" si="3"/>
        <v>41378.74470435812</v>
      </c>
      <c r="B45" s="24">
        <v>30</v>
      </c>
      <c r="C45" s="166">
        <f>+A45*5.6%/12</f>
        <v>193.10080862033786</v>
      </c>
      <c r="D45" s="166">
        <f t="shared" si="4"/>
        <v>827.5748940871625</v>
      </c>
      <c r="E45" s="167"/>
      <c r="F45" s="168">
        <v>39722</v>
      </c>
      <c r="G45" s="167"/>
      <c r="I45"/>
    </row>
    <row r="46" spans="1:9" ht="12.75">
      <c r="A46" s="166">
        <f t="shared" si="3"/>
        <v>40551.169810270956</v>
      </c>
      <c r="B46" s="24">
        <v>31</v>
      </c>
      <c r="C46" s="166">
        <f>+A46*5.6%/12</f>
        <v>189.2387924479311</v>
      </c>
      <c r="D46" s="166">
        <f t="shared" si="4"/>
        <v>827.5748940871625</v>
      </c>
      <c r="E46" s="167"/>
      <c r="F46" s="168">
        <v>39753</v>
      </c>
      <c r="G46" s="167"/>
      <c r="I46"/>
    </row>
    <row r="47" spans="1:9" ht="12.75">
      <c r="A47" s="166">
        <f t="shared" si="3"/>
        <v>39723.59491618379</v>
      </c>
      <c r="B47" s="24">
        <v>30</v>
      </c>
      <c r="C47" s="166">
        <f>+A47*2.9%/12</f>
        <v>95.99868771411083</v>
      </c>
      <c r="D47" s="166">
        <f t="shared" si="4"/>
        <v>827.5748940871625</v>
      </c>
      <c r="E47" s="167">
        <f>SUM(C36:D47)</f>
        <v>12320.935023169674</v>
      </c>
      <c r="F47" s="168">
        <v>39783</v>
      </c>
      <c r="G47" s="167"/>
      <c r="I47"/>
    </row>
    <row r="48" spans="1:9" ht="12.75">
      <c r="A48" s="166">
        <f t="shared" si="3"/>
        <v>38896.02002209663</v>
      </c>
      <c r="B48" s="24">
        <v>31</v>
      </c>
      <c r="C48" s="166">
        <f aca="true" t="shared" si="5" ref="C48:C59">+A48*2.5%/12</f>
        <v>81.03337504603465</v>
      </c>
      <c r="D48" s="166">
        <f t="shared" si="4"/>
        <v>827.5748940871625</v>
      </c>
      <c r="E48" s="167"/>
      <c r="F48" s="168">
        <v>39814</v>
      </c>
      <c r="G48" s="167"/>
      <c r="I48"/>
    </row>
    <row r="49" spans="1:9" ht="12.75">
      <c r="A49" s="166">
        <f t="shared" si="3"/>
        <v>38068.445128009465</v>
      </c>
      <c r="B49" s="24">
        <v>31</v>
      </c>
      <c r="C49" s="166">
        <f t="shared" si="5"/>
        <v>79.30926068335306</v>
      </c>
      <c r="D49" s="166">
        <f t="shared" si="4"/>
        <v>827.5748940871625</v>
      </c>
      <c r="E49" s="167"/>
      <c r="F49" s="168">
        <v>39845</v>
      </c>
      <c r="G49" s="167"/>
      <c r="I49"/>
    </row>
    <row r="50" spans="1:9" ht="12.75">
      <c r="A50" s="166">
        <f t="shared" si="3"/>
        <v>37240.8702339223</v>
      </c>
      <c r="B50" s="24">
        <v>30</v>
      </c>
      <c r="C50" s="166">
        <f t="shared" si="5"/>
        <v>77.58514632067147</v>
      </c>
      <c r="D50" s="166">
        <f t="shared" si="4"/>
        <v>827.5748940871625</v>
      </c>
      <c r="E50" s="167"/>
      <c r="F50" s="168">
        <v>39873</v>
      </c>
      <c r="G50" s="167"/>
      <c r="I50"/>
    </row>
    <row r="51" spans="1:9" ht="12.75">
      <c r="A51" s="166">
        <f t="shared" si="3"/>
        <v>36413.29533983514</v>
      </c>
      <c r="B51" s="24">
        <v>31</v>
      </c>
      <c r="C51" s="166">
        <f t="shared" si="5"/>
        <v>75.86103195798988</v>
      </c>
      <c r="D51" s="166">
        <f t="shared" si="4"/>
        <v>827.5748940871625</v>
      </c>
      <c r="E51" s="167"/>
      <c r="F51" s="168">
        <v>39904</v>
      </c>
      <c r="G51" s="167"/>
      <c r="I51"/>
    </row>
    <row r="52" spans="1:9" ht="12.75">
      <c r="A52" s="166">
        <f t="shared" si="3"/>
        <v>35585.720445747975</v>
      </c>
      <c r="B52" s="24">
        <v>30</v>
      </c>
      <c r="C52" s="166">
        <f t="shared" si="5"/>
        <v>74.13691759530828</v>
      </c>
      <c r="D52" s="166">
        <f t="shared" si="4"/>
        <v>827.5748940871625</v>
      </c>
      <c r="E52" s="167"/>
      <c r="F52" s="168">
        <v>39934</v>
      </c>
      <c r="G52" s="167"/>
      <c r="I52"/>
    </row>
    <row r="53" spans="1:9" ht="12.75">
      <c r="A53" s="166">
        <f t="shared" si="3"/>
        <v>34758.14555166081</v>
      </c>
      <c r="B53" s="24">
        <v>31</v>
      </c>
      <c r="C53" s="166">
        <f t="shared" si="5"/>
        <v>72.4128032326267</v>
      </c>
      <c r="D53" s="166">
        <f t="shared" si="4"/>
        <v>827.5748940871625</v>
      </c>
      <c r="E53" s="167"/>
      <c r="F53" s="168">
        <v>39965</v>
      </c>
      <c r="G53" s="167">
        <v>60.09013520280421</v>
      </c>
      <c r="I53"/>
    </row>
    <row r="54" spans="1:9" ht="12.75">
      <c r="A54" s="166">
        <f t="shared" si="3"/>
        <v>33930.57065757365</v>
      </c>
      <c r="B54" s="24">
        <v>31</v>
      </c>
      <c r="C54" s="166">
        <f t="shared" si="5"/>
        <v>70.6886888699451</v>
      </c>
      <c r="D54" s="166">
        <f t="shared" si="4"/>
        <v>827.5748940871625</v>
      </c>
      <c r="E54" s="167"/>
      <c r="F54" s="168">
        <v>39995</v>
      </c>
      <c r="G54" s="167"/>
      <c r="I54"/>
    </row>
    <row r="55" spans="1:9" ht="12.75">
      <c r="A55" s="166">
        <f t="shared" si="3"/>
        <v>33102.995763486484</v>
      </c>
      <c r="B55" s="24">
        <v>28</v>
      </c>
      <c r="C55" s="166">
        <f t="shared" si="5"/>
        <v>68.96457450726352</v>
      </c>
      <c r="D55" s="166">
        <f t="shared" si="4"/>
        <v>827.5748940871625</v>
      </c>
      <c r="E55" s="167"/>
      <c r="F55" s="168">
        <v>40026</v>
      </c>
      <c r="G55" s="167"/>
      <c r="I55"/>
    </row>
    <row r="56" spans="1:9" ht="12.75">
      <c r="A56" s="166">
        <f t="shared" si="3"/>
        <v>32275.42086939932</v>
      </c>
      <c r="B56" s="24">
        <v>31</v>
      </c>
      <c r="C56" s="166">
        <f t="shared" si="5"/>
        <v>67.24046014458192</v>
      </c>
      <c r="D56" s="166">
        <f t="shared" si="4"/>
        <v>827.5748940871625</v>
      </c>
      <c r="E56" s="167"/>
      <c r="F56" s="168">
        <v>40057</v>
      </c>
      <c r="G56" s="167"/>
      <c r="I56"/>
    </row>
    <row r="57" spans="1:9" ht="12.75">
      <c r="A57" s="166">
        <f t="shared" si="3"/>
        <v>31447.845975312157</v>
      </c>
      <c r="B57" s="24">
        <v>30</v>
      </c>
      <c r="C57" s="166">
        <f t="shared" si="5"/>
        <v>65.51634578190033</v>
      </c>
      <c r="D57" s="166">
        <f t="shared" si="4"/>
        <v>827.5748940871625</v>
      </c>
      <c r="E57" s="167"/>
      <c r="F57" s="168">
        <v>40087</v>
      </c>
      <c r="G57" s="167"/>
      <c r="I57"/>
    </row>
    <row r="58" spans="1:9" ht="12.75">
      <c r="A58" s="166">
        <f t="shared" si="3"/>
        <v>30620.271081224993</v>
      </c>
      <c r="B58" s="24">
        <v>31</v>
      </c>
      <c r="C58" s="166">
        <f t="shared" si="5"/>
        <v>63.792231419218744</v>
      </c>
      <c r="D58" s="166">
        <f t="shared" si="4"/>
        <v>827.5748940871625</v>
      </c>
      <c r="E58" s="167"/>
      <c r="F58" s="168">
        <v>40118</v>
      </c>
      <c r="G58" s="167"/>
      <c r="I58"/>
    </row>
    <row r="59" spans="1:9" ht="12.75">
      <c r="A59" s="166">
        <f t="shared" si="3"/>
        <v>29792.69618713783</v>
      </c>
      <c r="B59" s="24">
        <v>30</v>
      </c>
      <c r="C59" s="166">
        <f t="shared" si="5"/>
        <v>62.06811705653715</v>
      </c>
      <c r="D59" s="166">
        <f t="shared" si="4"/>
        <v>827.5748940871625</v>
      </c>
      <c r="E59" s="167">
        <f>SUM(C48:D59)</f>
        <v>10789.50768166138</v>
      </c>
      <c r="F59" s="168">
        <v>40148</v>
      </c>
      <c r="G59" s="167"/>
      <c r="I59"/>
    </row>
    <row r="60" spans="1:9" ht="12.75">
      <c r="A60" s="166">
        <f t="shared" si="3"/>
        <v>28965.121293050666</v>
      </c>
      <c r="B60" s="24">
        <v>31</v>
      </c>
      <c r="C60" s="166">
        <f aca="true" t="shared" si="6" ref="C60:C71">+A60*1.143%/12</f>
        <v>27.58927803163076</v>
      </c>
      <c r="D60" s="166">
        <f t="shared" si="4"/>
        <v>827.5748940871625</v>
      </c>
      <c r="E60" s="167"/>
      <c r="F60" s="168">
        <v>40179</v>
      </c>
      <c r="G60" s="167"/>
      <c r="I60"/>
    </row>
    <row r="61" spans="1:9" ht="12.75">
      <c r="A61" s="166">
        <f t="shared" si="3"/>
        <v>28137.546398963503</v>
      </c>
      <c r="B61" s="24">
        <v>31</v>
      </c>
      <c r="C61" s="166">
        <f t="shared" si="6"/>
        <v>26.80101294501274</v>
      </c>
      <c r="D61" s="166">
        <f t="shared" si="4"/>
        <v>827.5748940871625</v>
      </c>
      <c r="E61" s="167"/>
      <c r="F61" s="168">
        <v>40210</v>
      </c>
      <c r="G61" s="167"/>
      <c r="I61"/>
    </row>
    <row r="62" spans="1:9" ht="12.75">
      <c r="A62" s="166">
        <f t="shared" si="3"/>
        <v>27309.97150487634</v>
      </c>
      <c r="B62" s="24">
        <v>30</v>
      </c>
      <c r="C62" s="166">
        <f t="shared" si="6"/>
        <v>26.012747858394714</v>
      </c>
      <c r="D62" s="166">
        <f t="shared" si="4"/>
        <v>827.5748940871625</v>
      </c>
      <c r="E62" s="167"/>
      <c r="F62" s="168">
        <v>40238</v>
      </c>
      <c r="G62" s="167"/>
      <c r="I62"/>
    </row>
    <row r="63" spans="1:9" ht="12.75">
      <c r="A63" s="166">
        <f t="shared" si="3"/>
        <v>26482.396610789176</v>
      </c>
      <c r="B63" s="24">
        <v>31</v>
      </c>
      <c r="C63" s="166">
        <f t="shared" si="6"/>
        <v>25.224482771776692</v>
      </c>
      <c r="D63" s="166">
        <f t="shared" si="4"/>
        <v>827.5748940871625</v>
      </c>
      <c r="E63" s="167"/>
      <c r="F63" s="168">
        <v>40269</v>
      </c>
      <c r="G63" s="167"/>
      <c r="I63"/>
    </row>
    <row r="64" spans="1:9" ht="12.75">
      <c r="A64" s="166">
        <f t="shared" si="3"/>
        <v>25654.821716702012</v>
      </c>
      <c r="B64" s="24">
        <v>30</v>
      </c>
      <c r="C64" s="166">
        <f t="shared" si="6"/>
        <v>24.436217685158667</v>
      </c>
      <c r="D64" s="166">
        <f t="shared" si="4"/>
        <v>827.5748940871625</v>
      </c>
      <c r="E64" s="167"/>
      <c r="F64" s="168">
        <v>40299</v>
      </c>
      <c r="G64" s="167"/>
      <c r="I64"/>
    </row>
    <row r="65" spans="1:9" ht="12.75">
      <c r="A65" s="166">
        <f t="shared" si="3"/>
        <v>24827.24682261485</v>
      </c>
      <c r="B65" s="24">
        <v>31</v>
      </c>
      <c r="C65" s="166">
        <f t="shared" si="6"/>
        <v>23.647952598540645</v>
      </c>
      <c r="D65" s="166">
        <f t="shared" si="4"/>
        <v>827.5748940871625</v>
      </c>
      <c r="E65" s="167"/>
      <c r="F65" s="168">
        <v>40330</v>
      </c>
      <c r="G65" s="167">
        <v>60.09013520280421</v>
      </c>
      <c r="I65"/>
    </row>
    <row r="66" spans="1:9" ht="12.75">
      <c r="A66" s="166">
        <f t="shared" si="3"/>
        <v>23999.671928527685</v>
      </c>
      <c r="B66" s="24">
        <v>31</v>
      </c>
      <c r="C66" s="166">
        <f t="shared" si="6"/>
        <v>22.85968751192262</v>
      </c>
      <c r="D66" s="166">
        <f t="shared" si="4"/>
        <v>827.5748940871625</v>
      </c>
      <c r="E66" s="167"/>
      <c r="F66" s="168">
        <v>40360</v>
      </c>
      <c r="G66" s="167"/>
      <c r="I66"/>
    </row>
    <row r="67" spans="1:9" ht="12.75">
      <c r="A67" s="166">
        <f t="shared" si="3"/>
        <v>23172.09703444052</v>
      </c>
      <c r="B67" s="24">
        <v>28</v>
      </c>
      <c r="C67" s="166">
        <f t="shared" si="6"/>
        <v>22.0714224253046</v>
      </c>
      <c r="D67" s="166">
        <f t="shared" si="4"/>
        <v>827.5748940871625</v>
      </c>
      <c r="E67" s="167"/>
      <c r="F67" s="168">
        <v>40391</v>
      </c>
      <c r="G67" s="167"/>
      <c r="I67"/>
    </row>
    <row r="68" spans="1:9" ht="12.75">
      <c r="A68" s="166">
        <f t="shared" si="3"/>
        <v>22344.522140353358</v>
      </c>
      <c r="B68" s="24">
        <v>31</v>
      </c>
      <c r="C68" s="166">
        <f t="shared" si="6"/>
        <v>21.283157338686575</v>
      </c>
      <c r="D68" s="166">
        <f t="shared" si="4"/>
        <v>827.5748940871625</v>
      </c>
      <c r="E68" s="167"/>
      <c r="F68" s="168">
        <v>40422</v>
      </c>
      <c r="G68" s="167"/>
      <c r="I68"/>
    </row>
    <row r="69" spans="1:9" ht="12.75">
      <c r="A69" s="166">
        <f t="shared" si="3"/>
        <v>21516.947246266194</v>
      </c>
      <c r="B69" s="24">
        <v>30</v>
      </c>
      <c r="C69" s="166">
        <f t="shared" si="6"/>
        <v>20.494892252068553</v>
      </c>
      <c r="D69" s="166">
        <f t="shared" si="4"/>
        <v>827.5748940871625</v>
      </c>
      <c r="E69" s="167"/>
      <c r="F69" s="168">
        <v>40452</v>
      </c>
      <c r="G69" s="167"/>
      <c r="I69"/>
    </row>
    <row r="70" spans="1:9" ht="12.75">
      <c r="A70" s="166">
        <f t="shared" si="3"/>
        <v>20689.37235217903</v>
      </c>
      <c r="B70" s="24">
        <v>31</v>
      </c>
      <c r="C70" s="166">
        <f t="shared" si="6"/>
        <v>19.706627165450527</v>
      </c>
      <c r="D70" s="166">
        <f t="shared" si="4"/>
        <v>827.5748940871625</v>
      </c>
      <c r="E70" s="167"/>
      <c r="F70" s="168">
        <v>40483</v>
      </c>
      <c r="G70" s="167"/>
      <c r="I70"/>
    </row>
    <row r="71" spans="1:9" ht="12.75">
      <c r="A71" s="166">
        <f t="shared" si="3"/>
        <v>19861.797458091867</v>
      </c>
      <c r="B71" s="24">
        <v>30</v>
      </c>
      <c r="C71" s="166">
        <f t="shared" si="6"/>
        <v>18.918362078832505</v>
      </c>
      <c r="D71" s="166">
        <f t="shared" si="4"/>
        <v>827.5748940871625</v>
      </c>
      <c r="E71" s="167">
        <f>SUM(C60:D71)</f>
        <v>10209.944569708729</v>
      </c>
      <c r="F71" s="168">
        <v>40513</v>
      </c>
      <c r="G71" s="167"/>
      <c r="I71"/>
    </row>
    <row r="72" spans="1:9" ht="12.75">
      <c r="A72" s="166">
        <f t="shared" si="3"/>
        <v>19034.222564004704</v>
      </c>
      <c r="B72" s="24">
        <v>31</v>
      </c>
      <c r="C72" s="166">
        <f>+A72*1.589%/12</f>
        <v>25.204483045169564</v>
      </c>
      <c r="D72" s="166">
        <f t="shared" si="4"/>
        <v>827.5748940871625</v>
      </c>
      <c r="E72" s="167"/>
      <c r="F72" s="168">
        <v>40544</v>
      </c>
      <c r="G72" s="167"/>
      <c r="I72"/>
    </row>
    <row r="73" spans="1:9" ht="12.75">
      <c r="A73" s="166">
        <f t="shared" si="3"/>
        <v>18206.64766991754</v>
      </c>
      <c r="B73" s="24">
        <v>31</v>
      </c>
      <c r="C73" s="166">
        <f>+A73*1.589%/12</f>
        <v>24.108635956249145</v>
      </c>
      <c r="D73" s="166">
        <f t="shared" si="4"/>
        <v>827.5748940871625</v>
      </c>
      <c r="E73" s="167"/>
      <c r="F73" s="168">
        <v>40575</v>
      </c>
      <c r="G73" s="167"/>
      <c r="I73"/>
    </row>
    <row r="74" spans="1:9" ht="12.75">
      <c r="A74" s="166">
        <f t="shared" si="3"/>
        <v>17379.072775830376</v>
      </c>
      <c r="B74" s="24">
        <v>30</v>
      </c>
      <c r="C74" s="166">
        <f>+A74*1.589%/12</f>
        <v>23.012788867328727</v>
      </c>
      <c r="D74" s="166">
        <f t="shared" si="4"/>
        <v>827.5748940871625</v>
      </c>
      <c r="E74" s="167"/>
      <c r="F74" s="168">
        <v>40603</v>
      </c>
      <c r="G74" s="167"/>
      <c r="I74"/>
    </row>
    <row r="75" spans="1:9" ht="12.75">
      <c r="A75" s="166">
        <f t="shared" si="3"/>
        <v>16551.497881743213</v>
      </c>
      <c r="B75" s="24">
        <v>31</v>
      </c>
      <c r="C75" s="166">
        <f>+A75*1.904%/12</f>
        <v>26.261709972365896</v>
      </c>
      <c r="D75" s="166">
        <f t="shared" si="4"/>
        <v>827.5748940871625</v>
      </c>
      <c r="E75" s="167"/>
      <c r="F75" s="168">
        <v>40634</v>
      </c>
      <c r="G75" s="167"/>
      <c r="I75"/>
    </row>
    <row r="76" spans="1:9" ht="12.75">
      <c r="A76" s="166">
        <f aca="true" t="shared" si="7" ref="A76:A94">+A75-D75</f>
        <v>15723.922987656051</v>
      </c>
      <c r="B76" s="24">
        <v>30</v>
      </c>
      <c r="C76" s="166">
        <f aca="true" t="shared" si="8" ref="C76:C94">+A76*1.904%/12</f>
        <v>24.9486244737476</v>
      </c>
      <c r="D76" s="166">
        <f aca="true" t="shared" si="9" ref="D76:D94">+D75</f>
        <v>827.5748940871625</v>
      </c>
      <c r="E76" s="167"/>
      <c r="F76" s="168">
        <v>40664</v>
      </c>
      <c r="G76" s="167"/>
      <c r="I76"/>
    </row>
    <row r="77" spans="1:9" ht="12.75">
      <c r="A77" s="166">
        <f t="shared" si="7"/>
        <v>14896.34809356889</v>
      </c>
      <c r="B77" s="24">
        <v>31</v>
      </c>
      <c r="C77" s="166">
        <f t="shared" si="8"/>
        <v>23.635538975129304</v>
      </c>
      <c r="D77" s="166">
        <f t="shared" si="9"/>
        <v>827.5748940871625</v>
      </c>
      <c r="E77" s="167"/>
      <c r="F77" s="168">
        <v>40695</v>
      </c>
      <c r="G77" s="167">
        <v>60.09013520280421</v>
      </c>
      <c r="I77"/>
    </row>
    <row r="78" spans="1:9" ht="12.75">
      <c r="A78" s="166">
        <f t="shared" si="7"/>
        <v>14068.773199481728</v>
      </c>
      <c r="B78" s="24">
        <v>31</v>
      </c>
      <c r="C78" s="166">
        <f t="shared" si="8"/>
        <v>22.322453476511004</v>
      </c>
      <c r="D78" s="166">
        <f t="shared" si="9"/>
        <v>827.5748940871625</v>
      </c>
      <c r="E78" s="167"/>
      <c r="F78" s="168">
        <v>40725</v>
      </c>
      <c r="G78" s="167"/>
      <c r="I78"/>
    </row>
    <row r="79" spans="1:9" ht="12.75">
      <c r="A79" s="166">
        <f t="shared" si="7"/>
        <v>13241.198305394566</v>
      </c>
      <c r="B79" s="24">
        <v>28</v>
      </c>
      <c r="C79" s="166">
        <f t="shared" si="8"/>
        <v>21.00936797789271</v>
      </c>
      <c r="D79" s="166">
        <f t="shared" si="9"/>
        <v>827.5748940871625</v>
      </c>
      <c r="E79" s="167"/>
      <c r="F79" s="168">
        <v>40756</v>
      </c>
      <c r="G79" s="167"/>
      <c r="I79"/>
    </row>
    <row r="80" spans="1:9" ht="12.75">
      <c r="A80" s="166">
        <f t="shared" si="7"/>
        <v>12413.623411307404</v>
      </c>
      <c r="B80" s="24">
        <v>31</v>
      </c>
      <c r="C80" s="166">
        <f t="shared" si="8"/>
        <v>19.696282479274412</v>
      </c>
      <c r="D80" s="166">
        <f t="shared" si="9"/>
        <v>827.5748940871625</v>
      </c>
      <c r="E80" s="167"/>
      <c r="F80" s="168">
        <v>40787</v>
      </c>
      <c r="G80" s="167"/>
      <c r="I80"/>
    </row>
    <row r="81" spans="1:9" ht="12.75">
      <c r="A81" s="166">
        <f t="shared" si="7"/>
        <v>11586.048517220243</v>
      </c>
      <c r="B81" s="24">
        <v>30</v>
      </c>
      <c r="C81" s="166">
        <f t="shared" si="8"/>
        <v>18.383196980656116</v>
      </c>
      <c r="D81" s="166">
        <f t="shared" si="9"/>
        <v>827.5748940871625</v>
      </c>
      <c r="E81" s="167"/>
      <c r="F81" s="168">
        <v>40817</v>
      </c>
      <c r="G81" s="167"/>
      <c r="I81"/>
    </row>
    <row r="82" spans="1:9" ht="12.75">
      <c r="A82" s="166">
        <f t="shared" si="7"/>
        <v>10758.47362313308</v>
      </c>
      <c r="B82" s="24">
        <v>31</v>
      </c>
      <c r="C82" s="166">
        <f t="shared" si="8"/>
        <v>17.07011148203782</v>
      </c>
      <c r="D82" s="166">
        <f t="shared" si="9"/>
        <v>827.5748940871625</v>
      </c>
      <c r="E82" s="167"/>
      <c r="F82" s="168">
        <v>40848</v>
      </c>
      <c r="G82" s="167"/>
      <c r="I82"/>
    </row>
    <row r="83" spans="1:9" ht="12.75">
      <c r="A83" s="166">
        <f t="shared" si="7"/>
        <v>9930.898729045919</v>
      </c>
      <c r="B83" s="24">
        <v>30</v>
      </c>
      <c r="C83" s="166">
        <f t="shared" si="8"/>
        <v>15.757025983419524</v>
      </c>
      <c r="D83" s="166">
        <f t="shared" si="9"/>
        <v>827.5748940871625</v>
      </c>
      <c r="E83" s="167">
        <f>SUM(C72:D83)</f>
        <v>10192.308948715732</v>
      </c>
      <c r="F83" s="168">
        <v>40878</v>
      </c>
      <c r="G83" s="167"/>
      <c r="I83"/>
    </row>
    <row r="84" spans="1:9" ht="12.75">
      <c r="A84" s="166">
        <f t="shared" si="7"/>
        <v>9103.323834958757</v>
      </c>
      <c r="B84" s="24">
        <v>31</v>
      </c>
      <c r="C84" s="166">
        <f t="shared" si="8"/>
        <v>14.443940484801226</v>
      </c>
      <c r="D84" s="166">
        <f t="shared" si="9"/>
        <v>827.5748940871625</v>
      </c>
      <c r="E84" s="167"/>
      <c r="F84" s="168">
        <v>40909</v>
      </c>
      <c r="G84" s="167"/>
      <c r="I84"/>
    </row>
    <row r="85" spans="1:9" ht="12.75">
      <c r="A85" s="166">
        <f t="shared" si="7"/>
        <v>8275.748940871596</v>
      </c>
      <c r="B85" s="24">
        <v>31</v>
      </c>
      <c r="C85" s="166">
        <f t="shared" si="8"/>
        <v>13.13085498618293</v>
      </c>
      <c r="D85" s="166">
        <f t="shared" si="9"/>
        <v>827.5748940871625</v>
      </c>
      <c r="E85" s="167"/>
      <c r="F85" s="168">
        <v>40940</v>
      </c>
      <c r="G85" s="167"/>
      <c r="I85"/>
    </row>
    <row r="86" spans="1:9" ht="12.75">
      <c r="A86" s="166">
        <f t="shared" si="7"/>
        <v>7448.174046784433</v>
      </c>
      <c r="B86" s="24">
        <v>30</v>
      </c>
      <c r="C86" s="166">
        <f t="shared" si="8"/>
        <v>11.817769487564632</v>
      </c>
      <c r="D86" s="166">
        <f t="shared" si="9"/>
        <v>827.5748940871625</v>
      </c>
      <c r="E86" s="167"/>
      <c r="F86" s="168">
        <v>40969</v>
      </c>
      <c r="G86" s="167"/>
      <c r="I86"/>
    </row>
    <row r="87" spans="1:9" ht="12.75">
      <c r="A87" s="166">
        <f t="shared" si="7"/>
        <v>6620.59915269727</v>
      </c>
      <c r="B87" s="24">
        <v>31</v>
      </c>
      <c r="C87" s="166">
        <f t="shared" si="8"/>
        <v>10.504683988946335</v>
      </c>
      <c r="D87" s="166">
        <f t="shared" si="9"/>
        <v>827.5748940871625</v>
      </c>
      <c r="E87" s="167"/>
      <c r="F87" s="168">
        <v>41000</v>
      </c>
      <c r="G87" s="167"/>
      <c r="I87"/>
    </row>
    <row r="88" spans="1:9" ht="12.75">
      <c r="A88" s="166">
        <f t="shared" si="7"/>
        <v>5793.024258610108</v>
      </c>
      <c r="B88" s="24">
        <v>30</v>
      </c>
      <c r="C88" s="166">
        <f t="shared" si="8"/>
        <v>9.191598490328037</v>
      </c>
      <c r="D88" s="166">
        <f t="shared" si="9"/>
        <v>827.5748940871625</v>
      </c>
      <c r="E88" s="167"/>
      <c r="F88" s="168">
        <v>41030</v>
      </c>
      <c r="G88" s="167"/>
      <c r="I88"/>
    </row>
    <row r="89" spans="1:9" ht="12.75">
      <c r="A89" s="166">
        <f t="shared" si="7"/>
        <v>4965.449364522945</v>
      </c>
      <c r="B89" s="24">
        <v>31</v>
      </c>
      <c r="C89" s="166">
        <f t="shared" si="8"/>
        <v>7.878512991709738</v>
      </c>
      <c r="D89" s="166">
        <f t="shared" si="9"/>
        <v>827.5748940871625</v>
      </c>
      <c r="E89" s="167"/>
      <c r="F89" s="168">
        <v>41061</v>
      </c>
      <c r="G89" s="167">
        <v>60.09013520280421</v>
      </c>
      <c r="I89"/>
    </row>
    <row r="90" spans="1:9" ht="12.75">
      <c r="A90" s="166">
        <f t="shared" si="7"/>
        <v>4137.874470435782</v>
      </c>
      <c r="B90" s="24">
        <v>31</v>
      </c>
      <c r="C90" s="166">
        <f t="shared" si="8"/>
        <v>6.565427493091441</v>
      </c>
      <c r="D90" s="166">
        <f t="shared" si="9"/>
        <v>827.5748940871625</v>
      </c>
      <c r="E90" s="167"/>
      <c r="F90" s="168">
        <v>41091</v>
      </c>
      <c r="G90" s="167"/>
      <c r="I90"/>
    </row>
    <row r="91" spans="1:9" ht="12.75">
      <c r="A91" s="166">
        <f t="shared" si="7"/>
        <v>3310.2995763486197</v>
      </c>
      <c r="B91" s="24">
        <v>28</v>
      </c>
      <c r="C91" s="166">
        <f t="shared" si="8"/>
        <v>5.252341994473142</v>
      </c>
      <c r="D91" s="166">
        <f t="shared" si="9"/>
        <v>827.5748940871625</v>
      </c>
      <c r="E91" s="167"/>
      <c r="F91" s="168">
        <v>41122</v>
      </c>
      <c r="G91" s="167"/>
      <c r="I91"/>
    </row>
    <row r="92" spans="1:9" ht="12.75">
      <c r="A92" s="166">
        <f t="shared" si="7"/>
        <v>2482.724682261457</v>
      </c>
      <c r="B92" s="24">
        <v>31</v>
      </c>
      <c r="C92" s="166">
        <f t="shared" si="8"/>
        <v>3.939256495854845</v>
      </c>
      <c r="D92" s="166">
        <f t="shared" si="9"/>
        <v>827.5748940871625</v>
      </c>
      <c r="E92" s="167"/>
      <c r="F92" s="168">
        <v>41153</v>
      </c>
      <c r="G92" s="167"/>
      <c r="I92"/>
    </row>
    <row r="93" spans="1:9" ht="12.75">
      <c r="A93" s="166">
        <f t="shared" si="7"/>
        <v>1655.1497881742944</v>
      </c>
      <c r="B93" s="24">
        <v>30</v>
      </c>
      <c r="C93" s="166">
        <f t="shared" si="8"/>
        <v>2.626170997236547</v>
      </c>
      <c r="D93" s="166">
        <f t="shared" si="9"/>
        <v>827.5748940871625</v>
      </c>
      <c r="E93" s="167"/>
      <c r="F93" s="168">
        <v>41183</v>
      </c>
      <c r="G93" s="167"/>
      <c r="I93"/>
    </row>
    <row r="94" spans="1:9" ht="12.75">
      <c r="A94" s="166">
        <f t="shared" si="7"/>
        <v>827.5748940871318</v>
      </c>
      <c r="B94" s="24">
        <v>31</v>
      </c>
      <c r="C94" s="166">
        <f t="shared" si="8"/>
        <v>1.313085498618249</v>
      </c>
      <c r="D94" s="166">
        <f t="shared" si="9"/>
        <v>827.5748940871625</v>
      </c>
      <c r="E94" s="167">
        <f>SUM(C84:D94)</f>
        <v>9189.987477867593</v>
      </c>
      <c r="F94" s="168">
        <v>41214</v>
      </c>
      <c r="G94" s="167"/>
      <c r="I94"/>
    </row>
    <row r="95" spans="1:9" ht="23.25" customHeight="1">
      <c r="A95" s="170"/>
      <c r="B95" s="170"/>
      <c r="C95" s="166">
        <f>+A95*2.5%/12</f>
        <v>0</v>
      </c>
      <c r="D95" s="170">
        <f>SUM(D11:D94)</f>
        <v>69516.29110332168</v>
      </c>
      <c r="E95" s="170">
        <f>SUM(E11:E94)</f>
        <v>80343.68516363432</v>
      </c>
      <c r="F95" s="170"/>
      <c r="G95" s="170">
        <f>SUM(G11:G94)</f>
        <v>420.6309464196295</v>
      </c>
      <c r="I95"/>
    </row>
    <row r="96" spans="3:7" ht="21" customHeight="1">
      <c r="C96" s="10"/>
      <c r="D96" s="181"/>
      <c r="E96" s="203"/>
      <c r="G96" s="178" t="s">
        <v>282</v>
      </c>
    </row>
    <row r="97" spans="3:7" ht="21" customHeight="1">
      <c r="C97" s="205">
        <v>41221101</v>
      </c>
      <c r="D97" s="205">
        <v>550305</v>
      </c>
      <c r="E97" s="205">
        <v>403305</v>
      </c>
      <c r="G97" s="167">
        <f>+G53</f>
        <v>60.09013520280421</v>
      </c>
    </row>
    <row r="98" spans="4:6" ht="21" customHeight="1">
      <c r="D98" s="204">
        <f>SUM(D48:D59)</f>
        <v>9930.898729045948</v>
      </c>
      <c r="E98" s="204">
        <f>G77+261.41</f>
        <v>321.50013520280424</v>
      </c>
      <c r="F98" s="1">
        <f>D98+E98</f>
        <v>10252.398864248753</v>
      </c>
    </row>
    <row r="99" ht="21" customHeight="1"/>
    <row r="100" spans="2:3" ht="21" customHeight="1">
      <c r="B100" s="177"/>
      <c r="C100" s="10"/>
    </row>
    <row r="101" spans="2:4" ht="21" customHeight="1">
      <c r="B101" s="177"/>
      <c r="C101" s="21"/>
      <c r="D101" s="177"/>
    </row>
    <row r="102" spans="2:9" ht="18" customHeight="1">
      <c r="B102" s="350" t="s">
        <v>260</v>
      </c>
      <c r="C102" s="351"/>
      <c r="D102" s="351"/>
      <c r="E102" s="351"/>
      <c r="F102" s="351"/>
      <c r="G102" s="351"/>
      <c r="H102" s="351"/>
      <c r="I102" s="352"/>
    </row>
    <row r="103" spans="2:9" ht="18.75" customHeight="1">
      <c r="B103" s="171" t="s">
        <v>261</v>
      </c>
      <c r="C103" s="171" t="s">
        <v>262</v>
      </c>
      <c r="D103" s="171" t="s">
        <v>263</v>
      </c>
      <c r="E103" s="171" t="s">
        <v>264</v>
      </c>
      <c r="F103" s="171" t="s">
        <v>265</v>
      </c>
      <c r="G103" s="171" t="s">
        <v>266</v>
      </c>
      <c r="H103" s="171" t="s">
        <v>267</v>
      </c>
      <c r="I103" s="171" t="s">
        <v>268</v>
      </c>
    </row>
    <row r="104" spans="1:9" ht="20.25" customHeight="1">
      <c r="A104" s="172" t="s">
        <v>269</v>
      </c>
      <c r="B104" s="166">
        <f>+E11</f>
        <v>1151.9842525693302</v>
      </c>
      <c r="C104" s="166">
        <f>+E23</f>
        <v>13522.573769384231</v>
      </c>
      <c r="D104" s="166">
        <f>+E35</f>
        <v>12966.443440557661</v>
      </c>
      <c r="E104" s="166">
        <f>+E47</f>
        <v>12320.935023169674</v>
      </c>
      <c r="F104" s="166">
        <f>+E59</f>
        <v>10789.50768166138</v>
      </c>
      <c r="G104" s="166">
        <f>+E71</f>
        <v>10209.944569708729</v>
      </c>
      <c r="H104" s="166">
        <f>+E83</f>
        <v>10192.308948715732</v>
      </c>
      <c r="I104" s="166">
        <f>+E94</f>
        <v>9189.987477867593</v>
      </c>
    </row>
    <row r="105" spans="2:9" ht="18" customHeight="1">
      <c r="B105" s="350" t="s">
        <v>270</v>
      </c>
      <c r="C105" s="351"/>
      <c r="D105" s="351"/>
      <c r="E105" s="351"/>
      <c r="F105" s="351"/>
      <c r="G105" s="351"/>
      <c r="H105" s="351"/>
      <c r="I105" s="352"/>
    </row>
    <row r="106" spans="2:9" ht="18.75" customHeight="1">
      <c r="B106" s="171" t="s">
        <v>261</v>
      </c>
      <c r="C106" s="171" t="s">
        <v>262</v>
      </c>
      <c r="D106" s="171" t="s">
        <v>263</v>
      </c>
      <c r="E106" s="171" t="s">
        <v>264</v>
      </c>
      <c r="F106" s="171" t="s">
        <v>265</v>
      </c>
      <c r="G106" s="171" t="s">
        <v>266</v>
      </c>
      <c r="H106" s="171" t="s">
        <v>267</v>
      </c>
      <c r="I106" s="171" t="s">
        <v>268</v>
      </c>
    </row>
    <row r="107" spans="1:9" ht="20.25" customHeight="1">
      <c r="A107" s="172" t="s">
        <v>271</v>
      </c>
      <c r="B107" s="166">
        <v>7036245.9</v>
      </c>
      <c r="C107" s="166">
        <f>+E32</f>
        <v>0</v>
      </c>
      <c r="D107" s="166">
        <f>+E44</f>
        <v>0</v>
      </c>
      <c r="E107" s="166">
        <f>+E56</f>
        <v>0</v>
      </c>
      <c r="F107" s="166">
        <f>+E68</f>
        <v>0</v>
      </c>
      <c r="G107" s="166">
        <f>+E80</f>
        <v>0</v>
      </c>
      <c r="H107" s="166">
        <f>+E92</f>
        <v>0</v>
      </c>
      <c r="I107" s="166">
        <f>+G102</f>
        <v>0</v>
      </c>
    </row>
    <row r="108" spans="1:5" ht="28.5" customHeight="1">
      <c r="A108" s="355" t="s">
        <v>272</v>
      </c>
      <c r="B108" s="355"/>
      <c r="C108" s="347">
        <v>972916641.21</v>
      </c>
      <c r="D108" s="348"/>
      <c r="E108" s="349"/>
    </row>
    <row r="109" spans="1:6" ht="28.5" customHeight="1">
      <c r="A109" s="346" t="s">
        <v>273</v>
      </c>
      <c r="B109" s="346"/>
      <c r="C109" s="347">
        <f>+C108*5%</f>
        <v>48645832.0605</v>
      </c>
      <c r="D109" s="348"/>
      <c r="E109" s="349"/>
      <c r="F109" t="s">
        <v>274</v>
      </c>
    </row>
    <row r="110" spans="1:6" ht="28.5" customHeight="1">
      <c r="A110" s="346" t="s">
        <v>275</v>
      </c>
      <c r="B110" s="346"/>
      <c r="C110" s="347">
        <f>+C108*10%</f>
        <v>97291664.121</v>
      </c>
      <c r="D110" s="348"/>
      <c r="E110" s="349"/>
      <c r="F110" t="s">
        <v>276</v>
      </c>
    </row>
  </sheetData>
  <mergeCells count="12">
    <mergeCell ref="A110:B110"/>
    <mergeCell ref="C110:E110"/>
    <mergeCell ref="A108:B108"/>
    <mergeCell ref="C108:E108"/>
    <mergeCell ref="B4:D4"/>
    <mergeCell ref="B6:D6"/>
    <mergeCell ref="A109:B109"/>
    <mergeCell ref="C109:E109"/>
    <mergeCell ref="B102:I102"/>
    <mergeCell ref="B5:E5"/>
    <mergeCell ref="F7:G7"/>
    <mergeCell ref="B105:I105"/>
  </mergeCells>
  <printOptions/>
  <pageMargins left="0.984251968503937" right="0.75" top="0.3937007874015748" bottom="0.2362204724409449" header="0.5118110236220472" footer="0.31496062992125984"/>
  <pageSetup fitToHeight="1" fitToWidth="1" horizontalDpi="300" verticalDpi="300" orientation="portrait" paperSize="9" scale="59" r:id="rId2"/>
  <headerFooter alignWithMargins="0">
    <oddHeader>&amp;C
</oddHeader>
    <oddFooter>&amp;CPage &amp;P</oddFooter>
  </headerFooter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K435"/>
  <sheetViews>
    <sheetView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15.421875" style="1" customWidth="1"/>
    <col min="2" max="2" width="7.421875" style="1" customWidth="1"/>
    <col min="3" max="3" width="17.8515625" style="1" customWidth="1"/>
    <col min="4" max="4" width="17.00390625" style="0" customWidth="1"/>
    <col min="5" max="5" width="14.7109375" style="0" customWidth="1"/>
    <col min="6" max="6" width="14.57421875" style="0" customWidth="1"/>
    <col min="7" max="7" width="14.140625" style="1" customWidth="1"/>
    <col min="8" max="8" width="9.7109375" style="2" customWidth="1"/>
    <col min="9" max="9" width="10.8515625" style="2" customWidth="1"/>
    <col min="10" max="10" width="15.57421875" style="13" customWidth="1"/>
    <col min="11" max="11" width="17.57421875" style="0" customWidth="1"/>
  </cols>
  <sheetData>
    <row r="1" spans="1:8" ht="18">
      <c r="A1" s="341" t="s">
        <v>181</v>
      </c>
      <c r="B1" s="341"/>
      <c r="C1" s="341"/>
      <c r="D1" s="341"/>
      <c r="E1" s="341"/>
      <c r="F1" s="341"/>
      <c r="G1" s="341"/>
      <c r="H1" s="341"/>
    </row>
    <row r="2" ht="15.75">
      <c r="B2" s="9"/>
    </row>
    <row r="3" spans="1:4" ht="15.75" customHeight="1">
      <c r="A3" s="1" t="s">
        <v>180</v>
      </c>
      <c r="C3" s="10"/>
      <c r="D3" t="s">
        <v>187</v>
      </c>
    </row>
    <row r="4" spans="1:7" ht="15.75" customHeight="1">
      <c r="A4" s="1" t="s">
        <v>186</v>
      </c>
      <c r="C4" t="s">
        <v>188</v>
      </c>
      <c r="E4" t="s">
        <v>404</v>
      </c>
      <c r="G4" s="33"/>
    </row>
    <row r="5" spans="1:4" ht="16.5" customHeight="1">
      <c r="A5" s="1" t="s">
        <v>184</v>
      </c>
      <c r="B5" s="340">
        <v>150000</v>
      </c>
      <c r="C5" s="340"/>
      <c r="D5" s="28"/>
    </row>
    <row r="6" spans="2:4" ht="16.5" customHeight="1">
      <c r="B6" s="10"/>
      <c r="C6" s="10"/>
      <c r="D6" s="28"/>
    </row>
    <row r="7" spans="1:10" ht="12.75">
      <c r="A7" s="4" t="s">
        <v>2</v>
      </c>
      <c r="B7" s="6" t="s">
        <v>8</v>
      </c>
      <c r="C7" s="19" t="s">
        <v>4</v>
      </c>
      <c r="D7" s="5" t="s">
        <v>3</v>
      </c>
      <c r="E7" s="5" t="s">
        <v>1</v>
      </c>
      <c r="F7" s="6" t="s">
        <v>7</v>
      </c>
      <c r="G7" s="20" t="s">
        <v>6</v>
      </c>
      <c r="H7" s="6" t="s">
        <v>9</v>
      </c>
      <c r="I7" s="6" t="s">
        <v>183</v>
      </c>
      <c r="J7"/>
    </row>
    <row r="8" spans="1:10" ht="12.75">
      <c r="A8" s="3"/>
      <c r="B8" s="7"/>
      <c r="C8" s="21" t="s">
        <v>0</v>
      </c>
      <c r="D8" s="3"/>
      <c r="E8" s="3"/>
      <c r="F8" s="7" t="s">
        <v>185</v>
      </c>
      <c r="G8" s="22" t="s">
        <v>5</v>
      </c>
      <c r="H8" s="7"/>
      <c r="I8" s="31">
        <v>0.005</v>
      </c>
      <c r="J8"/>
    </row>
    <row r="9" spans="1:10" ht="12.75">
      <c r="A9" s="11">
        <f>+B5</f>
        <v>150000</v>
      </c>
      <c r="B9" s="8">
        <v>31</v>
      </c>
      <c r="C9" s="18">
        <f aca="true" t="shared" si="0" ref="C9:C40">I9/360*B9/100</f>
        <v>0.0045251388888888884</v>
      </c>
      <c r="D9" s="11">
        <f aca="true" t="shared" si="1" ref="D9:D40">A9*C9</f>
        <v>678.7708333333333</v>
      </c>
      <c r="E9" s="11">
        <f>+A9/60</f>
        <v>2500</v>
      </c>
      <c r="F9" s="11">
        <f aca="true" t="shared" si="2" ref="F9:F40">+D9+E9</f>
        <v>3178.770833333333</v>
      </c>
      <c r="G9" s="16"/>
      <c r="H9" s="23">
        <v>39356</v>
      </c>
      <c r="I9" s="32">
        <f aca="true" t="shared" si="3" ref="I9:I23">4.755+0.5</f>
        <v>5.255</v>
      </c>
      <c r="J9"/>
    </row>
    <row r="10" spans="1:10" ht="12.75">
      <c r="A10" s="11">
        <f aca="true" t="shared" si="4" ref="A10:A41">+A9-E9</f>
        <v>147500</v>
      </c>
      <c r="B10" s="12">
        <f aca="true" t="shared" si="5" ref="B10:B41">+H11-H10</f>
        <v>30</v>
      </c>
      <c r="C10" s="18">
        <f t="shared" si="0"/>
        <v>0.004379166666666667</v>
      </c>
      <c r="D10" s="11">
        <f t="shared" si="1"/>
        <v>645.9270833333334</v>
      </c>
      <c r="E10" s="11">
        <f aca="true" t="shared" si="6" ref="E10:E41">+E9</f>
        <v>2500</v>
      </c>
      <c r="F10" s="11">
        <f t="shared" si="2"/>
        <v>3145.9270833333335</v>
      </c>
      <c r="G10" s="16"/>
      <c r="H10" s="23">
        <v>39387</v>
      </c>
      <c r="I10" s="32">
        <f t="shared" si="3"/>
        <v>5.255</v>
      </c>
      <c r="J10"/>
    </row>
    <row r="11" spans="1:10" ht="12.75">
      <c r="A11" s="11">
        <f t="shared" si="4"/>
        <v>145000</v>
      </c>
      <c r="B11" s="12">
        <f t="shared" si="5"/>
        <v>31</v>
      </c>
      <c r="C11" s="18">
        <f t="shared" si="0"/>
        <v>0.0045251388888888884</v>
      </c>
      <c r="D11" s="11">
        <f t="shared" si="1"/>
        <v>656.1451388888888</v>
      </c>
      <c r="E11" s="11">
        <f t="shared" si="6"/>
        <v>2500</v>
      </c>
      <c r="F11" s="11">
        <f t="shared" si="2"/>
        <v>3156.145138888889</v>
      </c>
      <c r="G11" s="16">
        <f>SUM(F9:F11)</f>
        <v>9480.843055555555</v>
      </c>
      <c r="H11" s="23">
        <v>39417</v>
      </c>
      <c r="I11" s="32">
        <f t="shared" si="3"/>
        <v>5.255</v>
      </c>
      <c r="J11"/>
    </row>
    <row r="12" spans="1:11" ht="12.75">
      <c r="A12" s="11">
        <f t="shared" si="4"/>
        <v>142500</v>
      </c>
      <c r="B12" s="12">
        <f t="shared" si="5"/>
        <v>31</v>
      </c>
      <c r="C12" s="18">
        <f t="shared" si="0"/>
        <v>0.0045251388888888884</v>
      </c>
      <c r="D12" s="11">
        <f t="shared" si="1"/>
        <v>644.8322916666666</v>
      </c>
      <c r="E12" s="11">
        <f t="shared" si="6"/>
        <v>2500</v>
      </c>
      <c r="F12" s="11">
        <f t="shared" si="2"/>
        <v>3144.8322916666666</v>
      </c>
      <c r="G12" s="16"/>
      <c r="H12" s="23">
        <v>39448</v>
      </c>
      <c r="I12" s="32">
        <f t="shared" si="3"/>
        <v>5.255</v>
      </c>
      <c r="J12" s="1"/>
      <c r="K12" s="1"/>
    </row>
    <row r="13" spans="1:10" ht="12.75">
      <c r="A13" s="11">
        <f t="shared" si="4"/>
        <v>140000</v>
      </c>
      <c r="B13" s="12">
        <f t="shared" si="5"/>
        <v>29</v>
      </c>
      <c r="C13" s="18">
        <f t="shared" si="0"/>
        <v>0.004233194444444444</v>
      </c>
      <c r="D13" s="11">
        <f t="shared" si="1"/>
        <v>592.6472222222221</v>
      </c>
      <c r="E13" s="11">
        <f t="shared" si="6"/>
        <v>2500</v>
      </c>
      <c r="F13" s="11">
        <f t="shared" si="2"/>
        <v>3092.647222222222</v>
      </c>
      <c r="G13" s="17"/>
      <c r="H13" s="23">
        <v>39479</v>
      </c>
      <c r="I13" s="32">
        <f t="shared" si="3"/>
        <v>5.255</v>
      </c>
      <c r="J13"/>
    </row>
    <row r="14" spans="1:10" ht="12.75">
      <c r="A14" s="11">
        <f t="shared" si="4"/>
        <v>137500</v>
      </c>
      <c r="B14" s="12">
        <f t="shared" si="5"/>
        <v>31</v>
      </c>
      <c r="C14" s="18">
        <f t="shared" si="0"/>
        <v>0.0045251388888888884</v>
      </c>
      <c r="D14" s="11">
        <f t="shared" si="1"/>
        <v>622.2065972222222</v>
      </c>
      <c r="E14" s="11">
        <f t="shared" si="6"/>
        <v>2500</v>
      </c>
      <c r="F14" s="11">
        <f t="shared" si="2"/>
        <v>3122.206597222222</v>
      </c>
      <c r="G14" s="16"/>
      <c r="H14" s="23">
        <v>39508</v>
      </c>
      <c r="I14" s="32">
        <f t="shared" si="3"/>
        <v>5.255</v>
      </c>
      <c r="J14"/>
    </row>
    <row r="15" spans="1:10" ht="12.75">
      <c r="A15" s="11">
        <f t="shared" si="4"/>
        <v>135000</v>
      </c>
      <c r="B15" s="12">
        <f t="shared" si="5"/>
        <v>30</v>
      </c>
      <c r="C15" s="18">
        <f t="shared" si="0"/>
        <v>0.004379166666666667</v>
      </c>
      <c r="D15" s="11">
        <f t="shared" si="1"/>
        <v>591.1875</v>
      </c>
      <c r="E15" s="11">
        <f t="shared" si="6"/>
        <v>2500</v>
      </c>
      <c r="F15" s="11">
        <f t="shared" si="2"/>
        <v>3091.1875</v>
      </c>
      <c r="G15" s="17"/>
      <c r="H15" s="23">
        <v>39539</v>
      </c>
      <c r="I15" s="32">
        <f t="shared" si="3"/>
        <v>5.255</v>
      </c>
      <c r="J15"/>
    </row>
    <row r="16" spans="1:10" ht="12.75">
      <c r="A16" s="11">
        <f t="shared" si="4"/>
        <v>132500</v>
      </c>
      <c r="B16" s="12">
        <f t="shared" si="5"/>
        <v>31</v>
      </c>
      <c r="C16" s="18">
        <f t="shared" si="0"/>
        <v>0.0045251388888888884</v>
      </c>
      <c r="D16" s="11">
        <f t="shared" si="1"/>
        <v>599.5809027777777</v>
      </c>
      <c r="E16" s="11">
        <f t="shared" si="6"/>
        <v>2500</v>
      </c>
      <c r="F16" s="11">
        <f t="shared" si="2"/>
        <v>3099.5809027777777</v>
      </c>
      <c r="G16" s="17"/>
      <c r="H16" s="23">
        <v>39569</v>
      </c>
      <c r="I16" s="32">
        <f t="shared" si="3"/>
        <v>5.255</v>
      </c>
      <c r="J16"/>
    </row>
    <row r="17" spans="1:10" ht="12.75">
      <c r="A17" s="11">
        <f t="shared" si="4"/>
        <v>130000</v>
      </c>
      <c r="B17" s="12">
        <f t="shared" si="5"/>
        <v>30</v>
      </c>
      <c r="C17" s="18">
        <f t="shared" si="0"/>
        <v>0.004379166666666667</v>
      </c>
      <c r="D17" s="11">
        <f t="shared" si="1"/>
        <v>569.2916666666666</v>
      </c>
      <c r="E17" s="11">
        <f t="shared" si="6"/>
        <v>2500</v>
      </c>
      <c r="F17" s="11">
        <f t="shared" si="2"/>
        <v>3069.2916666666665</v>
      </c>
      <c r="G17" s="17"/>
      <c r="H17" s="23">
        <v>39600</v>
      </c>
      <c r="I17" s="32">
        <f t="shared" si="3"/>
        <v>5.255</v>
      </c>
      <c r="J17"/>
    </row>
    <row r="18" spans="1:10" ht="12.75">
      <c r="A18" s="11">
        <f t="shared" si="4"/>
        <v>127500</v>
      </c>
      <c r="B18" s="12">
        <f t="shared" si="5"/>
        <v>31</v>
      </c>
      <c r="C18" s="18">
        <f t="shared" si="0"/>
        <v>0.0045251388888888884</v>
      </c>
      <c r="D18" s="11">
        <f t="shared" si="1"/>
        <v>576.9552083333333</v>
      </c>
      <c r="E18" s="11">
        <f t="shared" si="6"/>
        <v>2500</v>
      </c>
      <c r="F18" s="11">
        <f t="shared" si="2"/>
        <v>3076.9552083333333</v>
      </c>
      <c r="G18" s="17"/>
      <c r="H18" s="23">
        <v>39630</v>
      </c>
      <c r="I18" s="32">
        <f t="shared" si="3"/>
        <v>5.255</v>
      </c>
      <c r="J18"/>
    </row>
    <row r="19" spans="1:10" ht="12.75">
      <c r="A19" s="11">
        <f t="shared" si="4"/>
        <v>125000</v>
      </c>
      <c r="B19" s="12">
        <f t="shared" si="5"/>
        <v>31</v>
      </c>
      <c r="C19" s="18">
        <f t="shared" si="0"/>
        <v>0.0045251388888888884</v>
      </c>
      <c r="D19" s="11">
        <f t="shared" si="1"/>
        <v>565.6423611111111</v>
      </c>
      <c r="E19" s="11">
        <f t="shared" si="6"/>
        <v>2500</v>
      </c>
      <c r="F19" s="11">
        <f t="shared" si="2"/>
        <v>3065.6423611111113</v>
      </c>
      <c r="G19" s="17"/>
      <c r="H19" s="23">
        <v>39661</v>
      </c>
      <c r="I19" s="32">
        <f t="shared" si="3"/>
        <v>5.255</v>
      </c>
      <c r="J19"/>
    </row>
    <row r="20" spans="1:10" ht="12.75">
      <c r="A20" s="11">
        <f t="shared" si="4"/>
        <v>122500</v>
      </c>
      <c r="B20" s="12">
        <f t="shared" si="5"/>
        <v>30</v>
      </c>
      <c r="C20" s="18">
        <f t="shared" si="0"/>
        <v>0.004379166666666667</v>
      </c>
      <c r="D20" s="11">
        <f t="shared" si="1"/>
        <v>536.4479166666666</v>
      </c>
      <c r="E20" s="11">
        <f t="shared" si="6"/>
        <v>2500</v>
      </c>
      <c r="F20" s="11">
        <f t="shared" si="2"/>
        <v>3036.4479166666665</v>
      </c>
      <c r="G20" s="17"/>
      <c r="H20" s="23">
        <v>39692</v>
      </c>
      <c r="I20" s="32">
        <f t="shared" si="3"/>
        <v>5.255</v>
      </c>
      <c r="J20"/>
    </row>
    <row r="21" spans="1:10" ht="12.75">
      <c r="A21" s="11">
        <f t="shared" si="4"/>
        <v>120000</v>
      </c>
      <c r="B21" s="12">
        <f t="shared" si="5"/>
        <v>31</v>
      </c>
      <c r="C21" s="18">
        <f t="shared" si="0"/>
        <v>0.0045251388888888884</v>
      </c>
      <c r="D21" s="11">
        <f t="shared" si="1"/>
        <v>543.0166666666667</v>
      </c>
      <c r="E21" s="11">
        <f t="shared" si="6"/>
        <v>2500</v>
      </c>
      <c r="F21" s="11">
        <f t="shared" si="2"/>
        <v>3043.0166666666664</v>
      </c>
      <c r="G21" s="16"/>
      <c r="H21" s="23">
        <v>39722</v>
      </c>
      <c r="I21" s="32">
        <f t="shared" si="3"/>
        <v>5.255</v>
      </c>
      <c r="J21"/>
    </row>
    <row r="22" spans="1:9" ht="12.75">
      <c r="A22" s="11">
        <f t="shared" si="4"/>
        <v>117500</v>
      </c>
      <c r="B22" s="12">
        <f t="shared" si="5"/>
        <v>30</v>
      </c>
      <c r="C22" s="18">
        <f t="shared" si="0"/>
        <v>0.004379166666666667</v>
      </c>
      <c r="D22" s="11">
        <f t="shared" si="1"/>
        <v>514.5520833333334</v>
      </c>
      <c r="E22" s="11">
        <f t="shared" si="6"/>
        <v>2500</v>
      </c>
      <c r="F22" s="11">
        <f t="shared" si="2"/>
        <v>3014.5520833333335</v>
      </c>
      <c r="G22" s="16"/>
      <c r="H22" s="23">
        <v>39753</v>
      </c>
      <c r="I22" s="32">
        <f t="shared" si="3"/>
        <v>5.255</v>
      </c>
    </row>
    <row r="23" spans="1:9" ht="12.75">
      <c r="A23" s="11">
        <f t="shared" si="4"/>
        <v>115000</v>
      </c>
      <c r="B23" s="12">
        <f t="shared" si="5"/>
        <v>31</v>
      </c>
      <c r="C23" s="18">
        <f t="shared" si="0"/>
        <v>0.0045251388888888884</v>
      </c>
      <c r="D23" s="11">
        <f t="shared" si="1"/>
        <v>520.3909722222222</v>
      </c>
      <c r="E23" s="11">
        <f t="shared" si="6"/>
        <v>2500</v>
      </c>
      <c r="F23" s="11">
        <f t="shared" si="2"/>
        <v>3020.3909722222224</v>
      </c>
      <c r="G23" s="16">
        <f>SUM(F12:F23)</f>
        <v>36876.75138888889</v>
      </c>
      <c r="H23" s="23">
        <v>39783</v>
      </c>
      <c r="I23" s="32">
        <f t="shared" si="3"/>
        <v>5.255</v>
      </c>
    </row>
    <row r="24" spans="1:10" ht="12.75">
      <c r="A24" s="11">
        <f t="shared" si="4"/>
        <v>112500</v>
      </c>
      <c r="B24" s="12">
        <f t="shared" si="5"/>
        <v>31</v>
      </c>
      <c r="C24" s="18">
        <f t="shared" si="0"/>
        <v>0.002927777777777778</v>
      </c>
      <c r="D24" s="11">
        <f t="shared" si="1"/>
        <v>329.375</v>
      </c>
      <c r="E24" s="11">
        <f t="shared" si="6"/>
        <v>2500</v>
      </c>
      <c r="F24" s="11">
        <f t="shared" si="2"/>
        <v>2829.375</v>
      </c>
      <c r="G24" s="16"/>
      <c r="H24" s="23">
        <v>39814</v>
      </c>
      <c r="I24" s="32">
        <f>2.9+0.5</f>
        <v>3.4</v>
      </c>
      <c r="J24"/>
    </row>
    <row r="25" spans="1:10" ht="12.75">
      <c r="A25" s="11">
        <f t="shared" si="4"/>
        <v>110000</v>
      </c>
      <c r="B25" s="12">
        <f t="shared" si="5"/>
        <v>28</v>
      </c>
      <c r="C25" s="18">
        <f t="shared" si="0"/>
        <v>0.0021000000000000003</v>
      </c>
      <c r="D25" s="11">
        <f t="shared" si="1"/>
        <v>231.00000000000003</v>
      </c>
      <c r="E25" s="11">
        <f t="shared" si="6"/>
        <v>2500</v>
      </c>
      <c r="F25" s="11">
        <f t="shared" si="2"/>
        <v>2731</v>
      </c>
      <c r="G25" s="17"/>
      <c r="H25" s="23">
        <v>39845</v>
      </c>
      <c r="I25" s="32">
        <f>2.2+0.5</f>
        <v>2.7</v>
      </c>
      <c r="J25"/>
    </row>
    <row r="26" spans="1:10" ht="12.75">
      <c r="A26" s="11">
        <f t="shared" si="4"/>
        <v>107500</v>
      </c>
      <c r="B26" s="12">
        <f t="shared" si="5"/>
        <v>31</v>
      </c>
      <c r="C26" s="18">
        <f t="shared" si="0"/>
        <v>0.0023250000000000002</v>
      </c>
      <c r="D26" s="11">
        <f t="shared" si="1"/>
        <v>249.93750000000003</v>
      </c>
      <c r="E26" s="11">
        <f t="shared" si="6"/>
        <v>2500</v>
      </c>
      <c r="F26" s="11">
        <f t="shared" si="2"/>
        <v>2749.9375</v>
      </c>
      <c r="G26" s="16"/>
      <c r="H26" s="23">
        <v>39873</v>
      </c>
      <c r="I26" s="32">
        <v>2.7</v>
      </c>
      <c r="J26"/>
    </row>
    <row r="27" spans="1:10" ht="12.75">
      <c r="A27" s="11">
        <f t="shared" si="4"/>
        <v>105000</v>
      </c>
      <c r="B27" s="12">
        <f t="shared" si="5"/>
        <v>30</v>
      </c>
      <c r="C27" s="18">
        <f t="shared" si="0"/>
        <v>0.0022500000000000003</v>
      </c>
      <c r="D27" s="11">
        <f t="shared" si="1"/>
        <v>236.25000000000003</v>
      </c>
      <c r="E27" s="11">
        <f t="shared" si="6"/>
        <v>2500</v>
      </c>
      <c r="F27" s="11">
        <f t="shared" si="2"/>
        <v>2736.25</v>
      </c>
      <c r="G27" s="17"/>
      <c r="H27" s="23">
        <v>39904</v>
      </c>
      <c r="I27" s="32">
        <v>2.7</v>
      </c>
      <c r="J27"/>
    </row>
    <row r="28" spans="1:10" ht="12.75">
      <c r="A28" s="11">
        <f t="shared" si="4"/>
        <v>102500</v>
      </c>
      <c r="B28" s="12">
        <f t="shared" si="5"/>
        <v>31</v>
      </c>
      <c r="C28" s="18">
        <f t="shared" si="0"/>
        <v>0.0023250000000000002</v>
      </c>
      <c r="D28" s="11">
        <f t="shared" si="1"/>
        <v>238.31250000000003</v>
      </c>
      <c r="E28" s="11">
        <f t="shared" si="6"/>
        <v>2500</v>
      </c>
      <c r="F28" s="11">
        <f t="shared" si="2"/>
        <v>2738.3125</v>
      </c>
      <c r="G28" s="17"/>
      <c r="H28" s="23">
        <v>39934</v>
      </c>
      <c r="I28" s="32">
        <v>2.7</v>
      </c>
      <c r="J28"/>
    </row>
    <row r="29" spans="1:10" ht="12.75">
      <c r="A29" s="11">
        <f t="shared" si="4"/>
        <v>100000</v>
      </c>
      <c r="B29" s="12">
        <f t="shared" si="5"/>
        <v>30</v>
      </c>
      <c r="C29" s="18">
        <f t="shared" si="0"/>
        <v>0.0022500000000000003</v>
      </c>
      <c r="D29" s="11">
        <f t="shared" si="1"/>
        <v>225.00000000000003</v>
      </c>
      <c r="E29" s="11">
        <f t="shared" si="6"/>
        <v>2500</v>
      </c>
      <c r="F29" s="11">
        <f t="shared" si="2"/>
        <v>2725</v>
      </c>
      <c r="G29" s="17"/>
      <c r="H29" s="23">
        <v>39965</v>
      </c>
      <c r="I29" s="32">
        <v>2.7</v>
      </c>
      <c r="J29"/>
    </row>
    <row r="30" spans="1:10" ht="12.75">
      <c r="A30" s="11">
        <f t="shared" si="4"/>
        <v>97500</v>
      </c>
      <c r="B30" s="12">
        <f t="shared" si="5"/>
        <v>31</v>
      </c>
      <c r="C30" s="18">
        <f t="shared" si="0"/>
        <v>0.0023250000000000002</v>
      </c>
      <c r="D30" s="11">
        <f t="shared" si="1"/>
        <v>226.68750000000003</v>
      </c>
      <c r="E30" s="11">
        <f t="shared" si="6"/>
        <v>2500</v>
      </c>
      <c r="F30" s="11">
        <f t="shared" si="2"/>
        <v>2726.6875</v>
      </c>
      <c r="G30" s="17"/>
      <c r="H30" s="23">
        <v>39995</v>
      </c>
      <c r="I30" s="32">
        <v>2.7</v>
      </c>
      <c r="J30"/>
    </row>
    <row r="31" spans="1:10" ht="12.75">
      <c r="A31" s="11">
        <f t="shared" si="4"/>
        <v>95000</v>
      </c>
      <c r="B31" s="12">
        <f t="shared" si="5"/>
        <v>31</v>
      </c>
      <c r="C31" s="18">
        <f t="shared" si="0"/>
        <v>0.0023250000000000002</v>
      </c>
      <c r="D31" s="11">
        <f t="shared" si="1"/>
        <v>220.87500000000003</v>
      </c>
      <c r="E31" s="11">
        <f t="shared" si="6"/>
        <v>2500</v>
      </c>
      <c r="F31" s="11">
        <f t="shared" si="2"/>
        <v>2720.875</v>
      </c>
      <c r="G31" s="17"/>
      <c r="H31" s="23">
        <v>40026</v>
      </c>
      <c r="I31" s="32">
        <v>2.7</v>
      </c>
      <c r="J31"/>
    </row>
    <row r="32" spans="1:10" ht="12.75">
      <c r="A32" s="11">
        <f t="shared" si="4"/>
        <v>92500</v>
      </c>
      <c r="B32" s="12">
        <f t="shared" si="5"/>
        <v>30</v>
      </c>
      <c r="C32" s="18">
        <f t="shared" si="0"/>
        <v>0.0022500000000000003</v>
      </c>
      <c r="D32" s="11">
        <f t="shared" si="1"/>
        <v>208.12500000000003</v>
      </c>
      <c r="E32" s="11">
        <f t="shared" si="6"/>
        <v>2500</v>
      </c>
      <c r="F32" s="11">
        <f t="shared" si="2"/>
        <v>2708.125</v>
      </c>
      <c r="G32" s="17"/>
      <c r="H32" s="23">
        <v>40057</v>
      </c>
      <c r="I32" s="32">
        <v>2.7</v>
      </c>
      <c r="J32"/>
    </row>
    <row r="33" spans="1:10" ht="12.75">
      <c r="A33" s="11">
        <f t="shared" si="4"/>
        <v>90000</v>
      </c>
      <c r="B33" s="12">
        <f t="shared" si="5"/>
        <v>31</v>
      </c>
      <c r="C33" s="18">
        <f t="shared" si="0"/>
        <v>0.0023250000000000002</v>
      </c>
      <c r="D33" s="11">
        <f t="shared" si="1"/>
        <v>209.25000000000003</v>
      </c>
      <c r="E33" s="11">
        <f t="shared" si="6"/>
        <v>2500</v>
      </c>
      <c r="F33" s="11">
        <f t="shared" si="2"/>
        <v>2709.25</v>
      </c>
      <c r="G33" s="16"/>
      <c r="H33" s="23">
        <v>40087</v>
      </c>
      <c r="I33" s="32">
        <v>2.7</v>
      </c>
      <c r="J33"/>
    </row>
    <row r="34" spans="1:10" ht="12.75">
      <c r="A34" s="11">
        <f t="shared" si="4"/>
        <v>87500</v>
      </c>
      <c r="B34" s="12">
        <f t="shared" si="5"/>
        <v>30</v>
      </c>
      <c r="C34" s="18">
        <f t="shared" si="0"/>
        <v>0.0022500000000000003</v>
      </c>
      <c r="D34" s="11">
        <f t="shared" si="1"/>
        <v>196.87500000000003</v>
      </c>
      <c r="E34" s="11">
        <f t="shared" si="6"/>
        <v>2500</v>
      </c>
      <c r="F34" s="11">
        <f t="shared" si="2"/>
        <v>2696.875</v>
      </c>
      <c r="G34" s="16"/>
      <c r="H34" s="23">
        <v>40118</v>
      </c>
      <c r="I34" s="32">
        <v>2.7</v>
      </c>
      <c r="J34"/>
    </row>
    <row r="35" spans="1:10" ht="12.75">
      <c r="A35" s="11">
        <f t="shared" si="4"/>
        <v>85000</v>
      </c>
      <c r="B35" s="12">
        <f t="shared" si="5"/>
        <v>31</v>
      </c>
      <c r="C35" s="18">
        <f t="shared" si="0"/>
        <v>0.0023250000000000002</v>
      </c>
      <c r="D35" s="11">
        <f t="shared" si="1"/>
        <v>197.62500000000003</v>
      </c>
      <c r="E35" s="11">
        <f t="shared" si="6"/>
        <v>2500</v>
      </c>
      <c r="F35" s="11">
        <f t="shared" si="2"/>
        <v>2697.625</v>
      </c>
      <c r="G35" s="16">
        <f>SUM(F24:F35)</f>
        <v>32769.3125</v>
      </c>
      <c r="H35" s="23">
        <v>40148</v>
      </c>
      <c r="I35" s="32">
        <v>2.7</v>
      </c>
      <c r="J35"/>
    </row>
    <row r="36" spans="1:10" ht="12.75">
      <c r="A36" s="11">
        <f t="shared" si="4"/>
        <v>82500</v>
      </c>
      <c r="B36" s="12">
        <f t="shared" si="5"/>
        <v>31</v>
      </c>
      <c r="C36" s="18">
        <f t="shared" si="0"/>
        <v>0.0012494722222222221</v>
      </c>
      <c r="D36" s="11">
        <f t="shared" si="1"/>
        <v>103.08145833333333</v>
      </c>
      <c r="E36" s="11">
        <f t="shared" si="6"/>
        <v>2500</v>
      </c>
      <c r="F36" s="11">
        <f t="shared" si="2"/>
        <v>2603.081458333333</v>
      </c>
      <c r="G36" s="16"/>
      <c r="H36" s="23">
        <v>40179</v>
      </c>
      <c r="I36" s="32">
        <f aca="true" t="shared" si="7" ref="I36:I46">0.951+0.5</f>
        <v>1.451</v>
      </c>
      <c r="J36"/>
    </row>
    <row r="37" spans="1:10" ht="12.75">
      <c r="A37" s="11">
        <f t="shared" si="4"/>
        <v>80000</v>
      </c>
      <c r="B37" s="12">
        <f t="shared" si="5"/>
        <v>28</v>
      </c>
      <c r="C37" s="18">
        <f t="shared" si="0"/>
        <v>0.0011285555555555556</v>
      </c>
      <c r="D37" s="11">
        <f t="shared" si="1"/>
        <v>90.28444444444445</v>
      </c>
      <c r="E37" s="11">
        <f t="shared" si="6"/>
        <v>2500</v>
      </c>
      <c r="F37" s="11">
        <f t="shared" si="2"/>
        <v>2590.2844444444445</v>
      </c>
      <c r="G37" s="17"/>
      <c r="H37" s="23">
        <v>40210</v>
      </c>
      <c r="I37" s="32">
        <f t="shared" si="7"/>
        <v>1.451</v>
      </c>
      <c r="J37"/>
    </row>
    <row r="38" spans="1:10" ht="12.75">
      <c r="A38" s="11">
        <f t="shared" si="4"/>
        <v>77500</v>
      </c>
      <c r="B38" s="12">
        <f t="shared" si="5"/>
        <v>31</v>
      </c>
      <c r="C38" s="18">
        <f t="shared" si="0"/>
        <v>0.0012494722222222221</v>
      </c>
      <c r="D38" s="11">
        <f t="shared" si="1"/>
        <v>96.83409722222221</v>
      </c>
      <c r="E38" s="11">
        <f t="shared" si="6"/>
        <v>2500</v>
      </c>
      <c r="F38" s="11">
        <f t="shared" si="2"/>
        <v>2596.834097222222</v>
      </c>
      <c r="G38" s="16"/>
      <c r="H38" s="23">
        <v>40238</v>
      </c>
      <c r="I38" s="32">
        <f t="shared" si="7"/>
        <v>1.451</v>
      </c>
      <c r="J38"/>
    </row>
    <row r="39" spans="1:10" ht="12.75">
      <c r="A39" s="11">
        <f t="shared" si="4"/>
        <v>75000</v>
      </c>
      <c r="B39" s="12">
        <f t="shared" si="5"/>
        <v>30</v>
      </c>
      <c r="C39" s="18">
        <f t="shared" si="0"/>
        <v>0.0012091666666666665</v>
      </c>
      <c r="D39" s="11">
        <f t="shared" si="1"/>
        <v>90.68749999999999</v>
      </c>
      <c r="E39" s="11">
        <f t="shared" si="6"/>
        <v>2500</v>
      </c>
      <c r="F39" s="11">
        <f t="shared" si="2"/>
        <v>2590.6875</v>
      </c>
      <c r="G39" s="17"/>
      <c r="H39" s="23">
        <v>40269</v>
      </c>
      <c r="I39" s="32">
        <f t="shared" si="7"/>
        <v>1.451</v>
      </c>
      <c r="J39"/>
    </row>
    <row r="40" spans="1:10" ht="12.75">
      <c r="A40" s="11">
        <f t="shared" si="4"/>
        <v>72500</v>
      </c>
      <c r="B40" s="12">
        <f t="shared" si="5"/>
        <v>31</v>
      </c>
      <c r="C40" s="18">
        <f t="shared" si="0"/>
        <v>0.0012494722222222221</v>
      </c>
      <c r="D40" s="11">
        <f t="shared" si="1"/>
        <v>90.58673611111111</v>
      </c>
      <c r="E40" s="11">
        <f t="shared" si="6"/>
        <v>2500</v>
      </c>
      <c r="F40" s="11">
        <f t="shared" si="2"/>
        <v>2590.586736111111</v>
      </c>
      <c r="G40" s="17"/>
      <c r="H40" s="23">
        <v>40299</v>
      </c>
      <c r="I40" s="32">
        <f t="shared" si="7"/>
        <v>1.451</v>
      </c>
      <c r="J40"/>
    </row>
    <row r="41" spans="1:10" ht="12.75">
      <c r="A41" s="11">
        <f t="shared" si="4"/>
        <v>70000</v>
      </c>
      <c r="B41" s="12">
        <f t="shared" si="5"/>
        <v>30</v>
      </c>
      <c r="C41" s="18">
        <f aca="true" t="shared" si="8" ref="C41:C68">I41/360*B41/100</f>
        <v>0.0012091666666666665</v>
      </c>
      <c r="D41" s="11">
        <f aca="true" t="shared" si="9" ref="D41:D68">A41*C41</f>
        <v>84.64166666666665</v>
      </c>
      <c r="E41" s="11">
        <f t="shared" si="6"/>
        <v>2500</v>
      </c>
      <c r="F41" s="11">
        <f aca="true" t="shared" si="10" ref="F41:F68">+D41+E41</f>
        <v>2584.6416666666664</v>
      </c>
      <c r="G41" s="17"/>
      <c r="H41" s="23">
        <v>40330</v>
      </c>
      <c r="I41" s="32">
        <f t="shared" si="7"/>
        <v>1.451</v>
      </c>
      <c r="J41"/>
    </row>
    <row r="42" spans="1:10" ht="12.75">
      <c r="A42" s="11">
        <f aca="true" t="shared" si="11" ref="A42:A68">+A41-E41</f>
        <v>67500</v>
      </c>
      <c r="B42" s="12">
        <f aca="true" t="shared" si="12" ref="B42:B67">+H43-H42</f>
        <v>31</v>
      </c>
      <c r="C42" s="18">
        <f t="shared" si="8"/>
        <v>0.0012494722222222221</v>
      </c>
      <c r="D42" s="11">
        <f t="shared" si="9"/>
        <v>84.33937499999999</v>
      </c>
      <c r="E42" s="11">
        <f aca="true" t="shared" si="13" ref="E42:E68">+E41</f>
        <v>2500</v>
      </c>
      <c r="F42" s="11">
        <f t="shared" si="10"/>
        <v>2584.339375</v>
      </c>
      <c r="G42" s="17"/>
      <c r="H42" s="23">
        <v>40360</v>
      </c>
      <c r="I42" s="32">
        <f t="shared" si="7"/>
        <v>1.451</v>
      </c>
      <c r="J42"/>
    </row>
    <row r="43" spans="1:10" ht="12.75">
      <c r="A43" s="11">
        <f t="shared" si="11"/>
        <v>65000</v>
      </c>
      <c r="B43" s="12">
        <f t="shared" si="12"/>
        <v>31</v>
      </c>
      <c r="C43" s="18">
        <f t="shared" si="8"/>
        <v>0.0012494722222222221</v>
      </c>
      <c r="D43" s="11">
        <f t="shared" si="9"/>
        <v>81.21569444444444</v>
      </c>
      <c r="E43" s="11">
        <f t="shared" si="13"/>
        <v>2500</v>
      </c>
      <c r="F43" s="11">
        <f t="shared" si="10"/>
        <v>2581.2156944444446</v>
      </c>
      <c r="G43" s="17"/>
      <c r="H43" s="23">
        <v>40391</v>
      </c>
      <c r="I43" s="32">
        <f t="shared" si="7"/>
        <v>1.451</v>
      </c>
      <c r="J43"/>
    </row>
    <row r="44" spans="1:10" ht="12.75">
      <c r="A44" s="11">
        <f t="shared" si="11"/>
        <v>62500</v>
      </c>
      <c r="B44" s="12">
        <f t="shared" si="12"/>
        <v>30</v>
      </c>
      <c r="C44" s="18">
        <f t="shared" si="8"/>
        <v>0.0012091666666666665</v>
      </c>
      <c r="D44" s="11">
        <f t="shared" si="9"/>
        <v>75.57291666666666</v>
      </c>
      <c r="E44" s="11">
        <f t="shared" si="13"/>
        <v>2500</v>
      </c>
      <c r="F44" s="11">
        <f t="shared" si="10"/>
        <v>2575.5729166666665</v>
      </c>
      <c r="G44" s="17"/>
      <c r="H44" s="23">
        <v>40422</v>
      </c>
      <c r="I44" s="32">
        <f t="shared" si="7"/>
        <v>1.451</v>
      </c>
      <c r="J44"/>
    </row>
    <row r="45" spans="1:10" ht="12.75">
      <c r="A45" s="11">
        <f t="shared" si="11"/>
        <v>60000</v>
      </c>
      <c r="B45" s="12">
        <f t="shared" si="12"/>
        <v>31</v>
      </c>
      <c r="C45" s="18">
        <f t="shared" si="8"/>
        <v>0.0012494722222222221</v>
      </c>
      <c r="D45" s="11">
        <f t="shared" si="9"/>
        <v>74.96833333333333</v>
      </c>
      <c r="E45" s="11">
        <f t="shared" si="13"/>
        <v>2500</v>
      </c>
      <c r="F45" s="11">
        <f t="shared" si="10"/>
        <v>2574.9683333333332</v>
      </c>
      <c r="G45" s="16"/>
      <c r="H45" s="23">
        <v>40452</v>
      </c>
      <c r="I45" s="32">
        <f t="shared" si="7"/>
        <v>1.451</v>
      </c>
      <c r="J45"/>
    </row>
    <row r="46" spans="1:10" ht="12.75">
      <c r="A46" s="11">
        <f t="shared" si="11"/>
        <v>57500</v>
      </c>
      <c r="B46" s="12">
        <f t="shared" si="12"/>
        <v>30</v>
      </c>
      <c r="C46" s="18">
        <f t="shared" si="8"/>
        <v>0.0012091666666666665</v>
      </c>
      <c r="D46" s="11">
        <f t="shared" si="9"/>
        <v>69.52708333333332</v>
      </c>
      <c r="E46" s="11">
        <f t="shared" si="13"/>
        <v>2500</v>
      </c>
      <c r="F46" s="11">
        <f t="shared" si="10"/>
        <v>2569.5270833333334</v>
      </c>
      <c r="G46" s="16"/>
      <c r="H46" s="23">
        <v>40483</v>
      </c>
      <c r="I46" s="32">
        <f t="shared" si="7"/>
        <v>1.451</v>
      </c>
      <c r="J46"/>
    </row>
    <row r="47" spans="1:10" ht="12.75">
      <c r="A47" s="11">
        <f t="shared" si="11"/>
        <v>55000</v>
      </c>
      <c r="B47" s="12">
        <f t="shared" si="12"/>
        <v>31</v>
      </c>
      <c r="C47" s="18">
        <f t="shared" si="8"/>
        <v>0.0015947777777777776</v>
      </c>
      <c r="D47" s="11">
        <f t="shared" si="9"/>
        <v>87.71277777777777</v>
      </c>
      <c r="E47" s="11">
        <f t="shared" si="13"/>
        <v>2500</v>
      </c>
      <c r="F47" s="11">
        <f t="shared" si="10"/>
        <v>2587.712777777778</v>
      </c>
      <c r="G47" s="16">
        <f>SUM(F36:F47)</f>
        <v>31029.452083333337</v>
      </c>
      <c r="H47" s="23">
        <v>40513</v>
      </c>
      <c r="I47" s="32">
        <v>1.852</v>
      </c>
      <c r="J47"/>
    </row>
    <row r="48" spans="1:10" ht="12.75">
      <c r="A48" s="11">
        <f t="shared" si="11"/>
        <v>52500</v>
      </c>
      <c r="B48" s="12">
        <f t="shared" si="12"/>
        <v>31</v>
      </c>
      <c r="C48" s="18">
        <f t="shared" si="8"/>
        <v>0.0015947777777777776</v>
      </c>
      <c r="D48" s="11">
        <f t="shared" si="9"/>
        <v>83.72583333333333</v>
      </c>
      <c r="E48" s="11">
        <f t="shared" si="13"/>
        <v>2500</v>
      </c>
      <c r="F48" s="11">
        <f t="shared" si="10"/>
        <v>2583.7258333333334</v>
      </c>
      <c r="G48" s="16"/>
      <c r="H48" s="23">
        <v>40544</v>
      </c>
      <c r="I48" s="32">
        <v>1.852</v>
      </c>
      <c r="J48"/>
    </row>
    <row r="49" spans="1:10" ht="12.75">
      <c r="A49" s="11">
        <f t="shared" si="11"/>
        <v>50000</v>
      </c>
      <c r="B49" s="12">
        <f t="shared" si="12"/>
        <v>28</v>
      </c>
      <c r="C49" s="18">
        <f>I49/360*B49/100</f>
        <v>0.0014404444444444445</v>
      </c>
      <c r="D49" s="11">
        <f t="shared" si="9"/>
        <v>72.02222222222223</v>
      </c>
      <c r="E49" s="11">
        <f t="shared" si="13"/>
        <v>2500</v>
      </c>
      <c r="F49" s="11">
        <f t="shared" si="10"/>
        <v>2572.0222222222224</v>
      </c>
      <c r="G49" s="17"/>
      <c r="H49" s="23">
        <v>40575</v>
      </c>
      <c r="I49" s="32">
        <v>1.852</v>
      </c>
      <c r="J49"/>
    </row>
    <row r="50" spans="1:10" ht="12.75">
      <c r="A50" s="11">
        <f t="shared" si="11"/>
        <v>47500</v>
      </c>
      <c r="B50" s="12">
        <f t="shared" si="12"/>
        <v>31</v>
      </c>
      <c r="C50" s="18">
        <f t="shared" si="8"/>
        <v>0.0015947777777777776</v>
      </c>
      <c r="D50" s="11">
        <f t="shared" si="9"/>
        <v>75.75194444444443</v>
      </c>
      <c r="E50" s="11">
        <f t="shared" si="13"/>
        <v>2500</v>
      </c>
      <c r="F50" s="11">
        <f t="shared" si="10"/>
        <v>2575.7519444444442</v>
      </c>
      <c r="G50" s="16"/>
      <c r="H50" s="23">
        <v>40603</v>
      </c>
      <c r="I50" s="32">
        <v>1.852</v>
      </c>
      <c r="J50"/>
    </row>
    <row r="51" spans="1:10" ht="12.75">
      <c r="A51" s="11">
        <f t="shared" si="11"/>
        <v>45000</v>
      </c>
      <c r="B51" s="12">
        <f t="shared" si="12"/>
        <v>30</v>
      </c>
      <c r="C51" s="18">
        <f t="shared" si="8"/>
        <v>0.0014483333333333334</v>
      </c>
      <c r="D51" s="11">
        <f t="shared" si="9"/>
        <v>65.175</v>
      </c>
      <c r="E51" s="11">
        <f t="shared" si="13"/>
        <v>2500</v>
      </c>
      <c r="F51" s="11">
        <f t="shared" si="10"/>
        <v>2565.175</v>
      </c>
      <c r="G51" s="17"/>
      <c r="H51" s="23">
        <v>40634</v>
      </c>
      <c r="I51" s="32">
        <v>1.738</v>
      </c>
      <c r="J51"/>
    </row>
    <row r="52" spans="1:10" ht="12.75">
      <c r="A52" s="11">
        <f t="shared" si="11"/>
        <v>42500</v>
      </c>
      <c r="B52" s="12">
        <f t="shared" si="12"/>
        <v>31</v>
      </c>
      <c r="C52" s="18">
        <f t="shared" si="8"/>
        <v>0.0019082222222222226</v>
      </c>
      <c r="D52" s="11">
        <f t="shared" si="9"/>
        <v>81.09944444444446</v>
      </c>
      <c r="E52" s="11">
        <f t="shared" si="13"/>
        <v>2500</v>
      </c>
      <c r="F52" s="11">
        <f t="shared" si="10"/>
        <v>2581.0994444444445</v>
      </c>
      <c r="G52" s="17"/>
      <c r="H52" s="23">
        <v>40664</v>
      </c>
      <c r="I52" s="32">
        <v>2.216</v>
      </c>
      <c r="J52"/>
    </row>
    <row r="53" spans="1:10" ht="12.75">
      <c r="A53" s="11">
        <f t="shared" si="11"/>
        <v>40000</v>
      </c>
      <c r="B53" s="12">
        <f t="shared" si="12"/>
        <v>30</v>
      </c>
      <c r="C53" s="18">
        <f t="shared" si="8"/>
        <v>0.001846666666666667</v>
      </c>
      <c r="D53" s="11">
        <f t="shared" si="9"/>
        <v>73.86666666666667</v>
      </c>
      <c r="E53" s="11">
        <f t="shared" si="13"/>
        <v>2500</v>
      </c>
      <c r="F53" s="11">
        <f t="shared" si="10"/>
        <v>2573.866666666667</v>
      </c>
      <c r="G53" s="17"/>
      <c r="H53" s="23">
        <v>40695</v>
      </c>
      <c r="I53" s="32">
        <v>2.216</v>
      </c>
      <c r="J53"/>
    </row>
    <row r="54" spans="1:10" ht="12.75">
      <c r="A54" s="11">
        <f t="shared" si="11"/>
        <v>37500</v>
      </c>
      <c r="B54" s="12">
        <f t="shared" si="12"/>
        <v>31</v>
      </c>
      <c r="C54" s="18">
        <f t="shared" si="8"/>
        <v>0.0019082222222222226</v>
      </c>
      <c r="D54" s="11">
        <f t="shared" si="9"/>
        <v>71.55833333333335</v>
      </c>
      <c r="E54" s="11">
        <f t="shared" si="13"/>
        <v>2500</v>
      </c>
      <c r="F54" s="11">
        <f t="shared" si="10"/>
        <v>2571.5583333333334</v>
      </c>
      <c r="G54" s="17"/>
      <c r="H54" s="23">
        <v>40725</v>
      </c>
      <c r="I54" s="32">
        <v>2.216</v>
      </c>
      <c r="J54"/>
    </row>
    <row r="55" spans="1:10" ht="12.75">
      <c r="A55" s="11">
        <f t="shared" si="11"/>
        <v>35000</v>
      </c>
      <c r="B55" s="12">
        <f t="shared" si="12"/>
        <v>31</v>
      </c>
      <c r="C55" s="18">
        <f t="shared" si="8"/>
        <v>0.0019082222222222226</v>
      </c>
      <c r="D55" s="11">
        <f t="shared" si="9"/>
        <v>66.78777777777779</v>
      </c>
      <c r="E55" s="11">
        <f t="shared" si="13"/>
        <v>2500</v>
      </c>
      <c r="F55" s="11">
        <f t="shared" si="10"/>
        <v>2566.7877777777776</v>
      </c>
      <c r="G55" s="17"/>
      <c r="H55" s="23">
        <v>40756</v>
      </c>
      <c r="I55" s="32">
        <v>2.216</v>
      </c>
      <c r="J55"/>
    </row>
    <row r="56" spans="1:10" ht="12.75">
      <c r="A56" s="11">
        <f t="shared" si="11"/>
        <v>32500</v>
      </c>
      <c r="B56" s="12">
        <f t="shared" si="12"/>
        <v>30</v>
      </c>
      <c r="C56" s="18">
        <f t="shared" si="8"/>
        <v>0.001846666666666667</v>
      </c>
      <c r="D56" s="11">
        <f t="shared" si="9"/>
        <v>60.01666666666668</v>
      </c>
      <c r="E56" s="11">
        <f t="shared" si="13"/>
        <v>2500</v>
      </c>
      <c r="F56" s="11">
        <f t="shared" si="10"/>
        <v>2560.016666666667</v>
      </c>
      <c r="G56" s="17"/>
      <c r="H56" s="23">
        <v>40787</v>
      </c>
      <c r="I56" s="32">
        <v>2.216</v>
      </c>
      <c r="J56"/>
    </row>
    <row r="57" spans="1:10" ht="12.75">
      <c r="A57" s="11">
        <f t="shared" si="11"/>
        <v>30000</v>
      </c>
      <c r="B57" s="12">
        <f t="shared" si="12"/>
        <v>31</v>
      </c>
      <c r="C57" s="18">
        <f t="shared" si="8"/>
        <v>0.0019082222222222226</v>
      </c>
      <c r="D57" s="11">
        <f t="shared" si="9"/>
        <v>57.24666666666668</v>
      </c>
      <c r="E57" s="11">
        <f t="shared" si="13"/>
        <v>2500</v>
      </c>
      <c r="F57" s="11">
        <f t="shared" si="10"/>
        <v>2557.246666666667</v>
      </c>
      <c r="G57" s="16"/>
      <c r="H57" s="23">
        <v>40817</v>
      </c>
      <c r="I57" s="32">
        <v>2.216</v>
      </c>
      <c r="J57"/>
    </row>
    <row r="58" spans="1:10" ht="12.75">
      <c r="A58" s="11">
        <f t="shared" si="11"/>
        <v>27500</v>
      </c>
      <c r="B58" s="12">
        <f t="shared" si="12"/>
        <v>30</v>
      </c>
      <c r="C58" s="18">
        <f t="shared" si="8"/>
        <v>0.001846666666666667</v>
      </c>
      <c r="D58" s="11">
        <f t="shared" si="9"/>
        <v>50.783333333333346</v>
      </c>
      <c r="E58" s="11">
        <f t="shared" si="13"/>
        <v>2500</v>
      </c>
      <c r="F58" s="11">
        <f t="shared" si="10"/>
        <v>2550.7833333333333</v>
      </c>
      <c r="G58" s="16"/>
      <c r="H58" s="23">
        <v>40848</v>
      </c>
      <c r="I58" s="32">
        <v>2.216</v>
      </c>
      <c r="J58"/>
    </row>
    <row r="59" spans="1:10" ht="12.75">
      <c r="A59" s="11">
        <f t="shared" si="11"/>
        <v>25000</v>
      </c>
      <c r="B59" s="12">
        <f t="shared" si="12"/>
        <v>31</v>
      </c>
      <c r="C59" s="18">
        <f t="shared" si="8"/>
        <v>0.0019082222222222226</v>
      </c>
      <c r="D59" s="11">
        <f t="shared" si="9"/>
        <v>47.70555555555556</v>
      </c>
      <c r="E59" s="11">
        <f t="shared" si="13"/>
        <v>2500</v>
      </c>
      <c r="F59" s="11">
        <f t="shared" si="10"/>
        <v>2547.7055555555557</v>
      </c>
      <c r="G59" s="16">
        <f>SUM(F48:F59)</f>
        <v>30805.73944444444</v>
      </c>
      <c r="H59" s="23">
        <v>40878</v>
      </c>
      <c r="I59" s="32">
        <v>2.216</v>
      </c>
      <c r="J59"/>
    </row>
    <row r="60" spans="1:10" ht="12.75">
      <c r="A60" s="11">
        <f t="shared" si="11"/>
        <v>22500</v>
      </c>
      <c r="B60" s="12">
        <f t="shared" si="12"/>
        <v>31</v>
      </c>
      <c r="C60" s="18">
        <f t="shared" si="8"/>
        <v>0.0019082222222222226</v>
      </c>
      <c r="D60" s="11">
        <f t="shared" si="9"/>
        <v>42.93500000000001</v>
      </c>
      <c r="E60" s="11">
        <f t="shared" si="13"/>
        <v>2500</v>
      </c>
      <c r="F60" s="11">
        <f t="shared" si="10"/>
        <v>2542.935</v>
      </c>
      <c r="G60" s="16"/>
      <c r="H60" s="23">
        <v>40909</v>
      </c>
      <c r="I60" s="32">
        <v>2.216</v>
      </c>
      <c r="J60"/>
    </row>
    <row r="61" spans="1:10" ht="12.75">
      <c r="A61" s="11">
        <f t="shared" si="11"/>
        <v>20000</v>
      </c>
      <c r="B61" s="12">
        <f t="shared" si="12"/>
        <v>29</v>
      </c>
      <c r="C61" s="18">
        <f t="shared" si="8"/>
        <v>0.0017851111111111114</v>
      </c>
      <c r="D61" s="11">
        <f t="shared" si="9"/>
        <v>35.702222222222225</v>
      </c>
      <c r="E61" s="11">
        <f t="shared" si="13"/>
        <v>2500</v>
      </c>
      <c r="F61" s="11">
        <f t="shared" si="10"/>
        <v>2535.702222222222</v>
      </c>
      <c r="G61" s="17"/>
      <c r="H61" s="23">
        <v>40940</v>
      </c>
      <c r="I61" s="32">
        <v>2.216</v>
      </c>
      <c r="J61"/>
    </row>
    <row r="62" spans="1:10" ht="12.75">
      <c r="A62" s="11">
        <f t="shared" si="11"/>
        <v>17500</v>
      </c>
      <c r="B62" s="12">
        <f t="shared" si="12"/>
        <v>31</v>
      </c>
      <c r="C62" s="18">
        <f t="shared" si="8"/>
        <v>0.0019082222222222226</v>
      </c>
      <c r="D62" s="11">
        <f t="shared" si="9"/>
        <v>33.393888888888895</v>
      </c>
      <c r="E62" s="11">
        <f t="shared" si="13"/>
        <v>2500</v>
      </c>
      <c r="F62" s="11">
        <f t="shared" si="10"/>
        <v>2533.393888888889</v>
      </c>
      <c r="G62" s="16"/>
      <c r="H62" s="23">
        <v>40969</v>
      </c>
      <c r="I62" s="32">
        <v>2.216</v>
      </c>
      <c r="J62"/>
    </row>
    <row r="63" spans="1:10" ht="12.75">
      <c r="A63" s="11">
        <f t="shared" si="11"/>
        <v>15000</v>
      </c>
      <c r="B63" s="12">
        <f t="shared" si="12"/>
        <v>30</v>
      </c>
      <c r="C63" s="18">
        <f t="shared" si="8"/>
        <v>0.001846666666666667</v>
      </c>
      <c r="D63" s="11">
        <f t="shared" si="9"/>
        <v>27.700000000000006</v>
      </c>
      <c r="E63" s="11">
        <f t="shared" si="13"/>
        <v>2500</v>
      </c>
      <c r="F63" s="11">
        <f t="shared" si="10"/>
        <v>2527.7</v>
      </c>
      <c r="G63" s="17"/>
      <c r="H63" s="23">
        <v>41000</v>
      </c>
      <c r="I63" s="32">
        <v>2.216</v>
      </c>
      <c r="J63"/>
    </row>
    <row r="64" spans="1:10" ht="12.75">
      <c r="A64" s="11">
        <f t="shared" si="11"/>
        <v>12500</v>
      </c>
      <c r="B64" s="12">
        <f t="shared" si="12"/>
        <v>31</v>
      </c>
      <c r="C64" s="18">
        <f t="shared" si="8"/>
        <v>0.0019082222222222226</v>
      </c>
      <c r="D64" s="11">
        <f t="shared" si="9"/>
        <v>23.85277777777778</v>
      </c>
      <c r="E64" s="11">
        <f t="shared" si="13"/>
        <v>2500</v>
      </c>
      <c r="F64" s="11">
        <f t="shared" si="10"/>
        <v>2523.8527777777776</v>
      </c>
      <c r="G64" s="17"/>
      <c r="H64" s="23">
        <v>41030</v>
      </c>
      <c r="I64" s="32">
        <v>2.216</v>
      </c>
      <c r="J64"/>
    </row>
    <row r="65" spans="1:10" ht="12.75">
      <c r="A65" s="11">
        <f t="shared" si="11"/>
        <v>10000</v>
      </c>
      <c r="B65" s="12">
        <f t="shared" si="12"/>
        <v>30</v>
      </c>
      <c r="C65" s="18">
        <f t="shared" si="8"/>
        <v>0.001846666666666667</v>
      </c>
      <c r="D65" s="11">
        <f t="shared" si="9"/>
        <v>18.46666666666667</v>
      </c>
      <c r="E65" s="11">
        <f t="shared" si="13"/>
        <v>2500</v>
      </c>
      <c r="F65" s="11">
        <f t="shared" si="10"/>
        <v>2518.4666666666667</v>
      </c>
      <c r="G65" s="17"/>
      <c r="H65" s="23">
        <v>41061</v>
      </c>
      <c r="I65" s="32">
        <v>2.216</v>
      </c>
      <c r="J65"/>
    </row>
    <row r="66" spans="1:10" ht="12.75">
      <c r="A66" s="11">
        <f t="shared" si="11"/>
        <v>7500</v>
      </c>
      <c r="B66" s="12">
        <f t="shared" si="12"/>
        <v>31</v>
      </c>
      <c r="C66" s="18">
        <f t="shared" si="8"/>
        <v>0.0019082222222222226</v>
      </c>
      <c r="D66" s="11">
        <f t="shared" si="9"/>
        <v>14.31166666666667</v>
      </c>
      <c r="E66" s="11">
        <f t="shared" si="13"/>
        <v>2500</v>
      </c>
      <c r="F66" s="11">
        <f t="shared" si="10"/>
        <v>2514.3116666666665</v>
      </c>
      <c r="G66" s="17"/>
      <c r="H66" s="23">
        <v>41091</v>
      </c>
      <c r="I66" s="32">
        <v>2.216</v>
      </c>
      <c r="J66"/>
    </row>
    <row r="67" spans="1:10" ht="12.75">
      <c r="A67" s="11">
        <f t="shared" si="11"/>
        <v>5000</v>
      </c>
      <c r="B67" s="12">
        <f t="shared" si="12"/>
        <v>31</v>
      </c>
      <c r="C67" s="18">
        <f t="shared" si="8"/>
        <v>0.0019082222222222226</v>
      </c>
      <c r="D67" s="11">
        <f t="shared" si="9"/>
        <v>9.541111111111112</v>
      </c>
      <c r="E67" s="11">
        <f t="shared" si="13"/>
        <v>2500</v>
      </c>
      <c r="F67" s="11">
        <f t="shared" si="10"/>
        <v>2509.541111111111</v>
      </c>
      <c r="G67" s="17"/>
      <c r="H67" s="23">
        <v>41122</v>
      </c>
      <c r="I67" s="32">
        <v>2.216</v>
      </c>
      <c r="J67"/>
    </row>
    <row r="68" spans="1:10" ht="12.75">
      <c r="A68" s="11">
        <f t="shared" si="11"/>
        <v>2500</v>
      </c>
      <c r="B68" s="12">
        <v>30</v>
      </c>
      <c r="C68" s="18">
        <f t="shared" si="8"/>
        <v>0.001846666666666667</v>
      </c>
      <c r="D68" s="11">
        <f t="shared" si="9"/>
        <v>4.616666666666667</v>
      </c>
      <c r="E68" s="11">
        <f t="shared" si="13"/>
        <v>2500</v>
      </c>
      <c r="F68" s="11">
        <f t="shared" si="10"/>
        <v>2504.616666666667</v>
      </c>
      <c r="G68" s="16">
        <f>SUM(F60:F68)</f>
        <v>22710.519999999997</v>
      </c>
      <c r="H68" s="23">
        <v>41153</v>
      </c>
      <c r="I68" s="32">
        <v>2.216</v>
      </c>
      <c r="J68"/>
    </row>
    <row r="69" spans="1:10" ht="24" customHeight="1">
      <c r="A69" s="24"/>
      <c r="B69" s="25"/>
      <c r="C69" s="27"/>
      <c r="D69" s="26">
        <f>SUM(D9:D68)</f>
        <v>13672.618472222217</v>
      </c>
      <c r="E69" s="26">
        <f>SUM(E9:E68)</f>
        <v>150000</v>
      </c>
      <c r="F69" s="26">
        <f>SUM(F9:F68)</f>
        <v>163672.61847222227</v>
      </c>
      <c r="G69" s="26">
        <f>SUM(G9:G68)</f>
        <v>163672.6184722222</v>
      </c>
      <c r="H69" s="24"/>
      <c r="I69" s="24"/>
      <c r="J69"/>
    </row>
    <row r="70" spans="1:10" ht="12.75">
      <c r="A70"/>
      <c r="B70"/>
      <c r="C70"/>
      <c r="G70"/>
      <c r="H70"/>
      <c r="I70"/>
      <c r="J70" s="14"/>
    </row>
    <row r="71" spans="1:10" ht="12.75">
      <c r="A71" s="15" t="s">
        <v>10</v>
      </c>
      <c r="B71" s="15"/>
      <c r="C71" s="30">
        <v>300</v>
      </c>
      <c r="G71"/>
      <c r="H71"/>
      <c r="I71"/>
      <c r="J71" s="14"/>
    </row>
    <row r="72" spans="1:10" ht="12.75">
      <c r="A72" s="15" t="s">
        <v>182</v>
      </c>
      <c r="B72" s="15"/>
      <c r="C72" s="30">
        <v>0</v>
      </c>
      <c r="F72" s="15" t="s">
        <v>363</v>
      </c>
      <c r="G72" s="15" t="s">
        <v>362</v>
      </c>
      <c r="H72" s="15" t="s">
        <v>189</v>
      </c>
      <c r="I72"/>
      <c r="J72" s="14"/>
    </row>
    <row r="73" spans="1:10" ht="12.75">
      <c r="A73" s="15" t="s">
        <v>11</v>
      </c>
      <c r="B73" s="15"/>
      <c r="C73" s="30">
        <f>+D69</f>
        <v>13672.618472222217</v>
      </c>
      <c r="F73" s="174">
        <f>SUM(E24:E35)</f>
        <v>30000</v>
      </c>
      <c r="G73" s="174">
        <v>805.74</v>
      </c>
      <c r="H73" s="174">
        <f>SUM(F73:G73)</f>
        <v>30805.74</v>
      </c>
      <c r="I73"/>
      <c r="J73" s="14"/>
    </row>
    <row r="74" spans="1:10" ht="12.75">
      <c r="A74" s="15" t="s">
        <v>12</v>
      </c>
      <c r="B74" s="15"/>
      <c r="C74" s="30">
        <f>SUM(C71:C73)</f>
        <v>13972.618472222217</v>
      </c>
      <c r="E74" s="173" t="s">
        <v>279</v>
      </c>
      <c r="F74" s="173" t="s">
        <v>280</v>
      </c>
      <c r="G74" s="173" t="s">
        <v>280</v>
      </c>
      <c r="H74"/>
      <c r="I74"/>
      <c r="J74" s="14"/>
    </row>
    <row r="75" spans="1:10" ht="12.75">
      <c r="A75"/>
      <c r="B75"/>
      <c r="C75"/>
      <c r="E75" s="173">
        <v>41221101</v>
      </c>
      <c r="F75" s="173">
        <v>550101</v>
      </c>
      <c r="G75" s="15">
        <v>403101</v>
      </c>
      <c r="H75"/>
      <c r="I75"/>
      <c r="J75" s="14"/>
    </row>
    <row r="76" spans="1:10" ht="12.75">
      <c r="A76"/>
      <c r="B76"/>
      <c r="C76"/>
      <c r="G76"/>
      <c r="H76"/>
      <c r="I76"/>
      <c r="J76" s="14"/>
    </row>
    <row r="77" spans="1:10" ht="12.75">
      <c r="A77"/>
      <c r="B77"/>
      <c r="C77"/>
      <c r="G77"/>
      <c r="H77"/>
      <c r="I77"/>
      <c r="J77" s="14"/>
    </row>
    <row r="78" spans="1:10" ht="12.75">
      <c r="A78"/>
      <c r="B78"/>
      <c r="C78"/>
      <c r="G78"/>
      <c r="H78"/>
      <c r="I78"/>
      <c r="J78" s="14"/>
    </row>
    <row r="79" spans="1:10" ht="12.75">
      <c r="A79"/>
      <c r="B79"/>
      <c r="C79"/>
      <c r="G79"/>
      <c r="H79"/>
      <c r="I79"/>
      <c r="J79" s="14"/>
    </row>
    <row r="80" spans="1:10" ht="12.75">
      <c r="A80"/>
      <c r="B80"/>
      <c r="C80"/>
      <c r="G80"/>
      <c r="H80"/>
      <c r="I80"/>
      <c r="J80" s="14"/>
    </row>
    <row r="81" spans="1:10" ht="12.75">
      <c r="A81"/>
      <c r="B81"/>
      <c r="C81"/>
      <c r="G81"/>
      <c r="H81"/>
      <c r="I81"/>
      <c r="J81" s="14"/>
    </row>
    <row r="82" spans="1:10" ht="12.75">
      <c r="A82"/>
      <c r="B82"/>
      <c r="C82"/>
      <c r="G82"/>
      <c r="H82"/>
      <c r="I82"/>
      <c r="J82" s="14"/>
    </row>
    <row r="83" spans="1:10" ht="12.75">
      <c r="A83"/>
      <c r="B83"/>
      <c r="C83"/>
      <c r="G83"/>
      <c r="H83"/>
      <c r="I83"/>
      <c r="J83" s="14"/>
    </row>
    <row r="84" spans="1:10" ht="12.75">
      <c r="A84"/>
      <c r="B84"/>
      <c r="C84"/>
      <c r="G84"/>
      <c r="H84"/>
      <c r="I84"/>
      <c r="J84" s="14"/>
    </row>
    <row r="85" spans="1:10" ht="12.75">
      <c r="A85"/>
      <c r="B85"/>
      <c r="C85"/>
      <c r="G85"/>
      <c r="H85"/>
      <c r="I85"/>
      <c r="J85" s="14"/>
    </row>
    <row r="86" spans="1:10" ht="12.75">
      <c r="A86"/>
      <c r="B86"/>
      <c r="C86"/>
      <c r="G86"/>
      <c r="H86"/>
      <c r="I86"/>
      <c r="J86" s="14"/>
    </row>
    <row r="87" spans="1:10" ht="12.75">
      <c r="A87"/>
      <c r="B87"/>
      <c r="C87"/>
      <c r="G87"/>
      <c r="H87"/>
      <c r="I87"/>
      <c r="J87" s="14"/>
    </row>
    <row r="88" spans="1:10" ht="12.75">
      <c r="A88"/>
      <c r="B88"/>
      <c r="C88"/>
      <c r="G88"/>
      <c r="H88"/>
      <c r="I88"/>
      <c r="J88" s="14"/>
    </row>
    <row r="89" spans="1:10" ht="12.75">
      <c r="A89"/>
      <c r="B89"/>
      <c r="C89"/>
      <c r="G89"/>
      <c r="H89"/>
      <c r="I89"/>
      <c r="J89" s="14"/>
    </row>
    <row r="90" spans="1:10" ht="12.75">
      <c r="A90"/>
      <c r="B90"/>
      <c r="C90"/>
      <c r="G90"/>
      <c r="H90"/>
      <c r="I90"/>
      <c r="J90" s="14"/>
    </row>
    <row r="91" spans="1:10" ht="12.75">
      <c r="A91"/>
      <c r="B91"/>
      <c r="C91"/>
      <c r="G91"/>
      <c r="H91"/>
      <c r="I91"/>
      <c r="J91" s="14"/>
    </row>
    <row r="92" spans="1:10" ht="12.75">
      <c r="A92"/>
      <c r="B92"/>
      <c r="C92"/>
      <c r="G92"/>
      <c r="H92"/>
      <c r="I92"/>
      <c r="J92" s="14"/>
    </row>
    <row r="93" spans="1:10" ht="12.75">
      <c r="A93"/>
      <c r="B93"/>
      <c r="C93"/>
      <c r="G93"/>
      <c r="H93"/>
      <c r="I93"/>
      <c r="J93" s="14"/>
    </row>
    <row r="94" spans="1:10" ht="12.75">
      <c r="A94"/>
      <c r="B94"/>
      <c r="C94"/>
      <c r="G94"/>
      <c r="H94"/>
      <c r="I94"/>
      <c r="J94" s="14"/>
    </row>
    <row r="95" spans="1:10" ht="12.75">
      <c r="A95"/>
      <c r="B95"/>
      <c r="C95"/>
      <c r="G95"/>
      <c r="H95"/>
      <c r="I95"/>
      <c r="J95" s="14"/>
    </row>
    <row r="96" spans="1:10" ht="12.75">
      <c r="A96"/>
      <c r="B96"/>
      <c r="C96"/>
      <c r="G96"/>
      <c r="H96"/>
      <c r="I96"/>
      <c r="J96" s="14"/>
    </row>
    <row r="97" spans="1:10" ht="12.75">
      <c r="A97"/>
      <c r="B97"/>
      <c r="C97"/>
      <c r="G97"/>
      <c r="H97"/>
      <c r="I97"/>
      <c r="J97" s="14"/>
    </row>
    <row r="98" spans="1:10" ht="12.75">
      <c r="A98"/>
      <c r="B98"/>
      <c r="C98"/>
      <c r="G98"/>
      <c r="H98"/>
      <c r="I98"/>
      <c r="J98" s="14"/>
    </row>
    <row r="99" spans="1:10" ht="12.75">
      <c r="A99"/>
      <c r="B99"/>
      <c r="C99"/>
      <c r="G99"/>
      <c r="H99"/>
      <c r="I99"/>
      <c r="J99" s="14"/>
    </row>
    <row r="100" spans="1:10" ht="12.75">
      <c r="A100"/>
      <c r="B100"/>
      <c r="C100"/>
      <c r="G100"/>
      <c r="H100"/>
      <c r="I100"/>
      <c r="J100" s="14"/>
    </row>
    <row r="101" spans="1:10" ht="12.75">
      <c r="A101"/>
      <c r="B101"/>
      <c r="C101"/>
      <c r="G101"/>
      <c r="H101"/>
      <c r="I101"/>
      <c r="J101" s="14"/>
    </row>
    <row r="102" spans="1:10" ht="12.75">
      <c r="A102"/>
      <c r="B102"/>
      <c r="C102"/>
      <c r="G102"/>
      <c r="H102"/>
      <c r="I102"/>
      <c r="J102" s="14"/>
    </row>
    <row r="103" spans="1:10" ht="12.75">
      <c r="A103"/>
      <c r="B103"/>
      <c r="C103"/>
      <c r="G103"/>
      <c r="H103"/>
      <c r="I103"/>
      <c r="J103" s="14"/>
    </row>
    <row r="104" spans="1:10" ht="12.75">
      <c r="A104"/>
      <c r="B104"/>
      <c r="C104"/>
      <c r="G104"/>
      <c r="H104"/>
      <c r="I104"/>
      <c r="J104" s="14"/>
    </row>
    <row r="105" spans="1:10" ht="12.75">
      <c r="A105"/>
      <c r="B105"/>
      <c r="C105"/>
      <c r="G105"/>
      <c r="H105"/>
      <c r="I105"/>
      <c r="J105" s="14"/>
    </row>
    <row r="106" spans="1:10" ht="12.75">
      <c r="A106"/>
      <c r="B106"/>
      <c r="C106"/>
      <c r="G106"/>
      <c r="H106"/>
      <c r="I106"/>
      <c r="J106" s="14"/>
    </row>
    <row r="107" spans="1:10" ht="12.75">
      <c r="A107"/>
      <c r="B107"/>
      <c r="C107"/>
      <c r="G107"/>
      <c r="H107"/>
      <c r="I107"/>
      <c r="J107" s="14"/>
    </row>
    <row r="108" spans="1:10" ht="12.75">
      <c r="A108"/>
      <c r="B108"/>
      <c r="C108"/>
      <c r="G108"/>
      <c r="H108"/>
      <c r="I108"/>
      <c r="J108" s="14"/>
    </row>
    <row r="109" spans="1:10" ht="12.75">
      <c r="A109"/>
      <c r="B109"/>
      <c r="C109"/>
      <c r="G109"/>
      <c r="H109"/>
      <c r="I109"/>
      <c r="J109" s="14"/>
    </row>
    <row r="110" spans="1:10" ht="12.75">
      <c r="A110"/>
      <c r="B110"/>
      <c r="C110"/>
      <c r="G110"/>
      <c r="H110"/>
      <c r="I110"/>
      <c r="J110" s="14"/>
    </row>
    <row r="111" spans="1:10" ht="12.75">
      <c r="A111"/>
      <c r="B111"/>
      <c r="C111"/>
      <c r="G111"/>
      <c r="H111"/>
      <c r="I111"/>
      <c r="J111" s="14"/>
    </row>
    <row r="112" spans="1:10" ht="12.75">
      <c r="A112"/>
      <c r="B112"/>
      <c r="C112"/>
      <c r="G112"/>
      <c r="H112"/>
      <c r="I112"/>
      <c r="J112" s="14"/>
    </row>
    <row r="113" spans="1:10" ht="12.75">
      <c r="A113"/>
      <c r="B113"/>
      <c r="C113"/>
      <c r="G113"/>
      <c r="H113"/>
      <c r="I113"/>
      <c r="J113" s="14"/>
    </row>
    <row r="114" spans="1:10" ht="12.75">
      <c r="A114"/>
      <c r="B114"/>
      <c r="C114"/>
      <c r="G114"/>
      <c r="H114"/>
      <c r="I114"/>
      <c r="J114" s="14"/>
    </row>
    <row r="115" spans="1:10" ht="12.75">
      <c r="A115"/>
      <c r="B115"/>
      <c r="C115"/>
      <c r="G115"/>
      <c r="H115"/>
      <c r="I115"/>
      <c r="J115" s="14"/>
    </row>
    <row r="116" spans="1:10" ht="12.75">
      <c r="A116"/>
      <c r="B116"/>
      <c r="C116"/>
      <c r="G116"/>
      <c r="H116"/>
      <c r="I116"/>
      <c r="J116" s="14"/>
    </row>
    <row r="117" spans="1:10" ht="12.75">
      <c r="A117"/>
      <c r="B117"/>
      <c r="C117"/>
      <c r="G117"/>
      <c r="H117"/>
      <c r="I117"/>
      <c r="J117" s="14"/>
    </row>
    <row r="118" spans="1:10" ht="12.75">
      <c r="A118"/>
      <c r="B118"/>
      <c r="C118"/>
      <c r="G118"/>
      <c r="H118"/>
      <c r="I118"/>
      <c r="J118" s="14"/>
    </row>
    <row r="119" spans="1:10" ht="12.75">
      <c r="A119"/>
      <c r="B119"/>
      <c r="C119"/>
      <c r="G119"/>
      <c r="H119"/>
      <c r="I119"/>
      <c r="J119" s="14"/>
    </row>
    <row r="120" spans="1:10" ht="12.75">
      <c r="A120"/>
      <c r="B120"/>
      <c r="C120"/>
      <c r="G120"/>
      <c r="H120"/>
      <c r="I120"/>
      <c r="J120" s="14"/>
    </row>
    <row r="121" spans="1:10" ht="12.75">
      <c r="A121"/>
      <c r="B121"/>
      <c r="C121"/>
      <c r="G121"/>
      <c r="H121"/>
      <c r="I121"/>
      <c r="J121" s="14"/>
    </row>
    <row r="122" spans="1:10" ht="12.75">
      <c r="A122"/>
      <c r="B122"/>
      <c r="C122"/>
      <c r="G122"/>
      <c r="H122"/>
      <c r="I122"/>
      <c r="J122" s="14"/>
    </row>
    <row r="123" spans="1:10" ht="12.75">
      <c r="A123"/>
      <c r="B123"/>
      <c r="C123"/>
      <c r="G123"/>
      <c r="H123"/>
      <c r="I123"/>
      <c r="J123" s="14"/>
    </row>
    <row r="124" spans="1:10" ht="12.75">
      <c r="A124"/>
      <c r="B124"/>
      <c r="C124"/>
      <c r="G124"/>
      <c r="H124"/>
      <c r="I124"/>
      <c r="J124" s="14"/>
    </row>
    <row r="125" spans="1:10" ht="12.75">
      <c r="A125"/>
      <c r="B125"/>
      <c r="C125"/>
      <c r="G125"/>
      <c r="H125"/>
      <c r="I125"/>
      <c r="J125" s="14"/>
    </row>
    <row r="126" spans="1:10" ht="12.75">
      <c r="A126"/>
      <c r="B126"/>
      <c r="C126"/>
      <c r="G126"/>
      <c r="H126"/>
      <c r="I126"/>
      <c r="J126" s="14"/>
    </row>
    <row r="127" spans="1:10" ht="12.75">
      <c r="A127"/>
      <c r="B127"/>
      <c r="C127"/>
      <c r="G127"/>
      <c r="H127"/>
      <c r="I127"/>
      <c r="J127" s="14"/>
    </row>
    <row r="128" spans="1:10" ht="12.75">
      <c r="A128"/>
      <c r="B128"/>
      <c r="C128"/>
      <c r="G128"/>
      <c r="H128"/>
      <c r="I128"/>
      <c r="J128" s="14"/>
    </row>
    <row r="129" spans="1:10" ht="12.75">
      <c r="A129"/>
      <c r="B129"/>
      <c r="C129"/>
      <c r="G129"/>
      <c r="H129"/>
      <c r="I129"/>
      <c r="J129" s="14"/>
    </row>
    <row r="130" spans="1:10" ht="12.75">
      <c r="A130"/>
      <c r="B130"/>
      <c r="C130"/>
      <c r="G130"/>
      <c r="H130"/>
      <c r="I130"/>
      <c r="J130" s="14"/>
    </row>
    <row r="131" spans="1:10" ht="12.75">
      <c r="A131"/>
      <c r="B131"/>
      <c r="C131"/>
      <c r="G131"/>
      <c r="H131"/>
      <c r="I131"/>
      <c r="J131" s="14"/>
    </row>
    <row r="132" spans="1:10" ht="12.75">
      <c r="A132"/>
      <c r="B132"/>
      <c r="C132"/>
      <c r="G132"/>
      <c r="H132"/>
      <c r="I132"/>
      <c r="J132" s="14"/>
    </row>
    <row r="133" spans="1:10" ht="12.75">
      <c r="A133"/>
      <c r="B133"/>
      <c r="C133"/>
      <c r="G133"/>
      <c r="H133"/>
      <c r="I133"/>
      <c r="J133" s="14"/>
    </row>
    <row r="134" spans="1:10" ht="12.75">
      <c r="A134"/>
      <c r="B134"/>
      <c r="C134"/>
      <c r="G134"/>
      <c r="H134"/>
      <c r="I134"/>
      <c r="J134" s="14"/>
    </row>
    <row r="135" spans="1:10" ht="12.75">
      <c r="A135"/>
      <c r="B135"/>
      <c r="C135"/>
      <c r="G135"/>
      <c r="H135"/>
      <c r="I135"/>
      <c r="J135" s="14"/>
    </row>
    <row r="136" spans="1:10" ht="12.75">
      <c r="A136"/>
      <c r="B136"/>
      <c r="C136"/>
      <c r="G136"/>
      <c r="H136"/>
      <c r="I136"/>
      <c r="J136" s="14"/>
    </row>
    <row r="137" spans="1:10" ht="12.75">
      <c r="A137"/>
      <c r="B137"/>
      <c r="C137"/>
      <c r="G137"/>
      <c r="H137"/>
      <c r="I137"/>
      <c r="J137" s="14"/>
    </row>
    <row r="138" spans="1:10" ht="12.75">
      <c r="A138"/>
      <c r="B138"/>
      <c r="C138"/>
      <c r="G138"/>
      <c r="H138"/>
      <c r="I138"/>
      <c r="J138" s="14"/>
    </row>
    <row r="139" spans="1:10" ht="12.75">
      <c r="A139"/>
      <c r="B139"/>
      <c r="C139"/>
      <c r="G139"/>
      <c r="H139"/>
      <c r="I139"/>
      <c r="J139" s="14"/>
    </row>
    <row r="140" spans="1:10" ht="12.75">
      <c r="A140"/>
      <c r="B140"/>
      <c r="C140"/>
      <c r="G140"/>
      <c r="H140"/>
      <c r="I140"/>
      <c r="J140" s="14"/>
    </row>
    <row r="141" spans="1:10" ht="12.75">
      <c r="A141"/>
      <c r="B141"/>
      <c r="C141"/>
      <c r="G141"/>
      <c r="H141"/>
      <c r="I141"/>
      <c r="J141" s="14"/>
    </row>
    <row r="142" spans="1:10" ht="12.75">
      <c r="A142"/>
      <c r="B142"/>
      <c r="C142"/>
      <c r="G142"/>
      <c r="H142"/>
      <c r="I142"/>
      <c r="J142" s="14"/>
    </row>
    <row r="143" spans="1:10" ht="12.75">
      <c r="A143"/>
      <c r="B143"/>
      <c r="C143"/>
      <c r="G143"/>
      <c r="H143"/>
      <c r="I143"/>
      <c r="J143" s="14"/>
    </row>
    <row r="144" spans="1:10" ht="12.75">
      <c r="A144"/>
      <c r="B144"/>
      <c r="C144"/>
      <c r="G144"/>
      <c r="H144"/>
      <c r="I144"/>
      <c r="J144" s="14"/>
    </row>
    <row r="145" spans="1:10" ht="12.75">
      <c r="A145"/>
      <c r="B145"/>
      <c r="C145"/>
      <c r="G145"/>
      <c r="H145"/>
      <c r="I145"/>
      <c r="J145" s="14"/>
    </row>
    <row r="146" spans="1:10" ht="12.75">
      <c r="A146"/>
      <c r="B146"/>
      <c r="C146"/>
      <c r="G146"/>
      <c r="H146"/>
      <c r="I146"/>
      <c r="J146" s="14"/>
    </row>
    <row r="147" spans="1:10" ht="12.75">
      <c r="A147"/>
      <c r="B147"/>
      <c r="C147"/>
      <c r="G147"/>
      <c r="H147"/>
      <c r="I147"/>
      <c r="J147" s="14"/>
    </row>
    <row r="148" spans="1:10" ht="12.75">
      <c r="A148"/>
      <c r="B148"/>
      <c r="C148"/>
      <c r="G148"/>
      <c r="H148"/>
      <c r="I148"/>
      <c r="J148" s="14"/>
    </row>
    <row r="149" spans="1:10" ht="12.75">
      <c r="A149"/>
      <c r="B149"/>
      <c r="C149"/>
      <c r="G149"/>
      <c r="H149"/>
      <c r="I149"/>
      <c r="J149" s="14"/>
    </row>
    <row r="150" spans="1:10" ht="12.75">
      <c r="A150"/>
      <c r="B150"/>
      <c r="C150"/>
      <c r="G150"/>
      <c r="H150"/>
      <c r="I150"/>
      <c r="J150" s="14"/>
    </row>
    <row r="151" spans="1:10" ht="12.75">
      <c r="A151"/>
      <c r="B151"/>
      <c r="C151"/>
      <c r="G151"/>
      <c r="H151"/>
      <c r="I151"/>
      <c r="J151" s="14"/>
    </row>
    <row r="152" spans="1:10" ht="12.75">
      <c r="A152"/>
      <c r="B152"/>
      <c r="C152"/>
      <c r="G152"/>
      <c r="H152"/>
      <c r="I152"/>
      <c r="J152" s="14"/>
    </row>
    <row r="153" spans="1:10" ht="12.75">
      <c r="A153"/>
      <c r="B153"/>
      <c r="C153"/>
      <c r="G153"/>
      <c r="H153"/>
      <c r="I153"/>
      <c r="J153" s="14"/>
    </row>
    <row r="154" spans="1:10" ht="12.75">
      <c r="A154"/>
      <c r="B154"/>
      <c r="C154"/>
      <c r="G154"/>
      <c r="H154"/>
      <c r="I154"/>
      <c r="J154" s="14"/>
    </row>
    <row r="155" spans="1:10" ht="12.75">
      <c r="A155"/>
      <c r="B155"/>
      <c r="C155"/>
      <c r="G155"/>
      <c r="H155"/>
      <c r="I155"/>
      <c r="J155" s="14"/>
    </row>
    <row r="156" spans="1:10" ht="12.75">
      <c r="A156"/>
      <c r="B156"/>
      <c r="C156"/>
      <c r="G156"/>
      <c r="H156"/>
      <c r="I156"/>
      <c r="J156" s="14"/>
    </row>
    <row r="157" spans="1:10" ht="12.75">
      <c r="A157"/>
      <c r="B157"/>
      <c r="C157"/>
      <c r="G157"/>
      <c r="H157"/>
      <c r="I157"/>
      <c r="J157" s="14"/>
    </row>
    <row r="158" spans="1:10" ht="12.75">
      <c r="A158"/>
      <c r="B158"/>
      <c r="C158"/>
      <c r="G158"/>
      <c r="H158"/>
      <c r="I158"/>
      <c r="J158" s="14"/>
    </row>
    <row r="159" spans="1:10" ht="12.75">
      <c r="A159"/>
      <c r="B159"/>
      <c r="C159"/>
      <c r="G159"/>
      <c r="H159"/>
      <c r="I159"/>
      <c r="J159" s="14"/>
    </row>
    <row r="160" spans="1:10" ht="12.75">
      <c r="A160"/>
      <c r="B160"/>
      <c r="C160"/>
      <c r="G160"/>
      <c r="H160"/>
      <c r="I160"/>
      <c r="J160" s="14"/>
    </row>
    <row r="161" spans="1:10" ht="12.75">
      <c r="A161"/>
      <c r="B161"/>
      <c r="C161"/>
      <c r="G161"/>
      <c r="H161"/>
      <c r="I161"/>
      <c r="J161" s="14"/>
    </row>
    <row r="162" spans="1:10" ht="12.75">
      <c r="A162"/>
      <c r="B162"/>
      <c r="C162"/>
      <c r="G162"/>
      <c r="H162"/>
      <c r="I162"/>
      <c r="J162" s="14"/>
    </row>
    <row r="163" spans="1:10" ht="12.75">
      <c r="A163"/>
      <c r="B163"/>
      <c r="C163"/>
      <c r="G163"/>
      <c r="H163"/>
      <c r="I163"/>
      <c r="J163" s="14"/>
    </row>
    <row r="164" spans="1:10" ht="12.75">
      <c r="A164"/>
      <c r="B164"/>
      <c r="C164"/>
      <c r="G164"/>
      <c r="H164"/>
      <c r="I164"/>
      <c r="J164" s="14"/>
    </row>
    <row r="165" spans="1:10" ht="12.75">
      <c r="A165"/>
      <c r="B165"/>
      <c r="C165"/>
      <c r="G165"/>
      <c r="H165"/>
      <c r="I165"/>
      <c r="J165" s="14"/>
    </row>
    <row r="166" spans="1:10" ht="12.75">
      <c r="A166"/>
      <c r="B166"/>
      <c r="C166"/>
      <c r="G166"/>
      <c r="H166"/>
      <c r="I166"/>
      <c r="J166" s="14"/>
    </row>
    <row r="167" spans="1:10" ht="12.75">
      <c r="A167"/>
      <c r="B167"/>
      <c r="C167"/>
      <c r="G167"/>
      <c r="H167"/>
      <c r="I167"/>
      <c r="J167" s="14"/>
    </row>
    <row r="168" spans="1:10" ht="12.75">
      <c r="A168"/>
      <c r="B168"/>
      <c r="C168"/>
      <c r="G168"/>
      <c r="H168"/>
      <c r="I168"/>
      <c r="J168" s="14"/>
    </row>
    <row r="169" spans="1:10" ht="12.75">
      <c r="A169"/>
      <c r="B169"/>
      <c r="C169"/>
      <c r="G169"/>
      <c r="H169"/>
      <c r="I169"/>
      <c r="J169" s="14"/>
    </row>
    <row r="170" spans="1:10" ht="12.75">
      <c r="A170"/>
      <c r="B170"/>
      <c r="C170"/>
      <c r="G170"/>
      <c r="H170"/>
      <c r="I170"/>
      <c r="J170" s="14"/>
    </row>
    <row r="171" spans="1:10" ht="12.75">
      <c r="A171"/>
      <c r="B171"/>
      <c r="C171"/>
      <c r="G171"/>
      <c r="H171"/>
      <c r="I171"/>
      <c r="J171" s="14"/>
    </row>
    <row r="172" spans="1:10" ht="12.75">
      <c r="A172"/>
      <c r="B172"/>
      <c r="C172"/>
      <c r="G172"/>
      <c r="H172"/>
      <c r="I172"/>
      <c r="J172" s="14"/>
    </row>
    <row r="173" spans="1:10" ht="12.75">
      <c r="A173"/>
      <c r="B173"/>
      <c r="C173"/>
      <c r="G173"/>
      <c r="H173"/>
      <c r="I173"/>
      <c r="J173" s="14"/>
    </row>
    <row r="174" spans="1:10" ht="12.75">
      <c r="A174"/>
      <c r="B174"/>
      <c r="C174"/>
      <c r="G174"/>
      <c r="H174"/>
      <c r="I174"/>
      <c r="J174" s="14"/>
    </row>
    <row r="175" spans="1:10" ht="12.75">
      <c r="A175"/>
      <c r="B175"/>
      <c r="C175"/>
      <c r="G175"/>
      <c r="H175"/>
      <c r="I175"/>
      <c r="J175" s="14"/>
    </row>
    <row r="176" spans="1:10" ht="12.75">
      <c r="A176"/>
      <c r="B176"/>
      <c r="C176"/>
      <c r="G176"/>
      <c r="H176"/>
      <c r="I176"/>
      <c r="J176" s="14"/>
    </row>
    <row r="177" spans="1:10" ht="12.75">
      <c r="A177"/>
      <c r="B177"/>
      <c r="C177"/>
      <c r="G177"/>
      <c r="H177"/>
      <c r="I177"/>
      <c r="J177" s="14"/>
    </row>
    <row r="178" spans="1:10" ht="12.75">
      <c r="A178"/>
      <c r="B178"/>
      <c r="C178"/>
      <c r="G178"/>
      <c r="H178"/>
      <c r="I178"/>
      <c r="J178" s="14"/>
    </row>
    <row r="179" spans="1:10" ht="12.75">
      <c r="A179"/>
      <c r="B179"/>
      <c r="C179"/>
      <c r="G179"/>
      <c r="H179"/>
      <c r="I179"/>
      <c r="J179" s="14"/>
    </row>
    <row r="180" spans="1:10" ht="12.75">
      <c r="A180"/>
      <c r="B180"/>
      <c r="C180"/>
      <c r="G180"/>
      <c r="H180"/>
      <c r="I180"/>
      <c r="J180" s="14"/>
    </row>
    <row r="181" spans="1:10" ht="12.75">
      <c r="A181"/>
      <c r="B181"/>
      <c r="C181"/>
      <c r="G181"/>
      <c r="H181"/>
      <c r="I181"/>
      <c r="J181" s="14"/>
    </row>
    <row r="182" spans="1:10" ht="12.75">
      <c r="A182"/>
      <c r="B182"/>
      <c r="C182"/>
      <c r="G182"/>
      <c r="H182"/>
      <c r="I182"/>
      <c r="J182" s="14"/>
    </row>
    <row r="183" spans="1:10" ht="12.75">
      <c r="A183"/>
      <c r="B183"/>
      <c r="C183"/>
      <c r="G183"/>
      <c r="H183"/>
      <c r="I183"/>
      <c r="J183" s="14"/>
    </row>
    <row r="184" spans="1:10" ht="12.75">
      <c r="A184"/>
      <c r="B184"/>
      <c r="C184"/>
      <c r="G184"/>
      <c r="H184"/>
      <c r="I184"/>
      <c r="J184" s="14"/>
    </row>
    <row r="185" spans="1:10" ht="12.75">
      <c r="A185"/>
      <c r="B185"/>
      <c r="C185"/>
      <c r="G185"/>
      <c r="H185"/>
      <c r="I185"/>
      <c r="J185" s="14"/>
    </row>
    <row r="186" spans="1:10" ht="12.75">
      <c r="A186"/>
      <c r="B186"/>
      <c r="C186"/>
      <c r="G186"/>
      <c r="H186"/>
      <c r="I186"/>
      <c r="J186" s="14"/>
    </row>
    <row r="187" spans="1:10" ht="12.75">
      <c r="A187"/>
      <c r="B187"/>
      <c r="C187"/>
      <c r="G187"/>
      <c r="H187"/>
      <c r="I187"/>
      <c r="J187" s="14"/>
    </row>
    <row r="188" spans="1:10" ht="12.75">
      <c r="A188"/>
      <c r="B188"/>
      <c r="C188"/>
      <c r="G188"/>
      <c r="H188"/>
      <c r="I188"/>
      <c r="J188" s="14"/>
    </row>
    <row r="189" spans="1:10" ht="12.75">
      <c r="A189"/>
      <c r="B189"/>
      <c r="C189"/>
      <c r="G189"/>
      <c r="H189"/>
      <c r="I189"/>
      <c r="J189" s="14"/>
    </row>
    <row r="190" spans="1:10" ht="12.75">
      <c r="A190"/>
      <c r="B190"/>
      <c r="C190"/>
      <c r="G190"/>
      <c r="H190"/>
      <c r="I190"/>
      <c r="J190" s="14"/>
    </row>
    <row r="191" spans="1:10" ht="12.75">
      <c r="A191"/>
      <c r="B191"/>
      <c r="C191"/>
      <c r="G191"/>
      <c r="H191"/>
      <c r="I191"/>
      <c r="J191" s="14"/>
    </row>
    <row r="192" spans="1:10" ht="12.75">
      <c r="A192"/>
      <c r="B192"/>
      <c r="C192"/>
      <c r="G192"/>
      <c r="H192"/>
      <c r="I192"/>
      <c r="J192" s="14"/>
    </row>
    <row r="193" spans="1:10" ht="12.75">
      <c r="A193"/>
      <c r="B193"/>
      <c r="C193"/>
      <c r="G193"/>
      <c r="H193"/>
      <c r="I193"/>
      <c r="J193" s="14"/>
    </row>
    <row r="194" spans="1:10" ht="12.75">
      <c r="A194"/>
      <c r="B194"/>
      <c r="C194"/>
      <c r="G194"/>
      <c r="H194"/>
      <c r="I194"/>
      <c r="J194" s="14"/>
    </row>
    <row r="195" spans="1:10" ht="12.75">
      <c r="A195"/>
      <c r="B195"/>
      <c r="C195"/>
      <c r="G195"/>
      <c r="H195"/>
      <c r="I195"/>
      <c r="J195" s="14"/>
    </row>
    <row r="196" spans="1:10" ht="12.75">
      <c r="A196"/>
      <c r="B196"/>
      <c r="C196"/>
      <c r="G196"/>
      <c r="H196"/>
      <c r="I196"/>
      <c r="J196" s="14"/>
    </row>
    <row r="197" spans="1:10" ht="12.75">
      <c r="A197"/>
      <c r="B197"/>
      <c r="C197"/>
      <c r="G197"/>
      <c r="H197"/>
      <c r="I197"/>
      <c r="J197" s="14"/>
    </row>
    <row r="198" spans="1:10" ht="12.75">
      <c r="A198"/>
      <c r="B198"/>
      <c r="C198"/>
      <c r="G198"/>
      <c r="H198"/>
      <c r="I198"/>
      <c r="J198" s="14"/>
    </row>
    <row r="199" spans="1:10" ht="12.75">
      <c r="A199"/>
      <c r="B199"/>
      <c r="C199"/>
      <c r="G199"/>
      <c r="H199"/>
      <c r="I199"/>
      <c r="J199" s="14"/>
    </row>
    <row r="200" spans="1:10" ht="12.75">
      <c r="A200"/>
      <c r="B200"/>
      <c r="C200"/>
      <c r="G200"/>
      <c r="H200"/>
      <c r="I200"/>
      <c r="J200" s="14"/>
    </row>
    <row r="201" spans="1:10" ht="12.75">
      <c r="A201"/>
      <c r="B201"/>
      <c r="C201"/>
      <c r="G201"/>
      <c r="H201"/>
      <c r="I201"/>
      <c r="J201" s="14"/>
    </row>
    <row r="202" spans="1:10" ht="12.75">
      <c r="A202"/>
      <c r="B202"/>
      <c r="C202"/>
      <c r="G202"/>
      <c r="H202"/>
      <c r="I202"/>
      <c r="J202" s="14"/>
    </row>
    <row r="203" spans="1:10" ht="12.75">
      <c r="A203"/>
      <c r="B203"/>
      <c r="C203"/>
      <c r="G203"/>
      <c r="H203"/>
      <c r="I203"/>
      <c r="J203" s="14"/>
    </row>
    <row r="204" spans="1:10" ht="12.75">
      <c r="A204"/>
      <c r="B204"/>
      <c r="C204"/>
      <c r="G204"/>
      <c r="H204"/>
      <c r="I204"/>
      <c r="J204" s="14"/>
    </row>
    <row r="205" spans="1:10" ht="12.75">
      <c r="A205"/>
      <c r="B205"/>
      <c r="C205"/>
      <c r="G205"/>
      <c r="H205"/>
      <c r="I205"/>
      <c r="J205" s="14"/>
    </row>
    <row r="206" spans="1:10" ht="12.75">
      <c r="A206"/>
      <c r="B206"/>
      <c r="C206"/>
      <c r="G206"/>
      <c r="H206"/>
      <c r="I206"/>
      <c r="J206" s="14"/>
    </row>
    <row r="207" spans="1:10" ht="12.75">
      <c r="A207"/>
      <c r="B207"/>
      <c r="C207"/>
      <c r="G207"/>
      <c r="H207"/>
      <c r="I207"/>
      <c r="J207" s="14"/>
    </row>
    <row r="208" spans="1:10" ht="12.75">
      <c r="A208"/>
      <c r="B208"/>
      <c r="C208"/>
      <c r="G208"/>
      <c r="H208"/>
      <c r="I208"/>
      <c r="J208" s="14"/>
    </row>
    <row r="209" spans="1:10" ht="12.75">
      <c r="A209"/>
      <c r="B209"/>
      <c r="C209"/>
      <c r="G209"/>
      <c r="H209"/>
      <c r="I209"/>
      <c r="J209" s="14"/>
    </row>
    <row r="210" spans="1:10" ht="12.75">
      <c r="A210"/>
      <c r="B210"/>
      <c r="C210"/>
      <c r="G210"/>
      <c r="H210"/>
      <c r="I210"/>
      <c r="J210" s="14"/>
    </row>
    <row r="211" spans="1:10" ht="12.75">
      <c r="A211"/>
      <c r="B211"/>
      <c r="C211"/>
      <c r="G211"/>
      <c r="H211"/>
      <c r="I211"/>
      <c r="J211" s="14"/>
    </row>
    <row r="212" spans="1:10" ht="12.75">
      <c r="A212"/>
      <c r="B212"/>
      <c r="C212"/>
      <c r="G212"/>
      <c r="H212"/>
      <c r="I212"/>
      <c r="J212" s="14"/>
    </row>
    <row r="213" spans="1:10" ht="12.75">
      <c r="A213"/>
      <c r="B213"/>
      <c r="C213"/>
      <c r="G213"/>
      <c r="H213"/>
      <c r="I213"/>
      <c r="J213" s="14"/>
    </row>
    <row r="214" spans="1:10" ht="12.75">
      <c r="A214"/>
      <c r="B214"/>
      <c r="C214"/>
      <c r="G214"/>
      <c r="H214"/>
      <c r="I214"/>
      <c r="J214" s="14"/>
    </row>
    <row r="215" spans="1:10" ht="12.75">
      <c r="A215"/>
      <c r="B215"/>
      <c r="C215"/>
      <c r="G215"/>
      <c r="H215"/>
      <c r="I215"/>
      <c r="J215" s="14"/>
    </row>
    <row r="216" spans="1:10" ht="12.75">
      <c r="A216"/>
      <c r="B216"/>
      <c r="C216"/>
      <c r="G216"/>
      <c r="H216"/>
      <c r="I216"/>
      <c r="J216" s="14"/>
    </row>
    <row r="217" spans="1:10" ht="12.75">
      <c r="A217"/>
      <c r="B217"/>
      <c r="C217"/>
      <c r="G217"/>
      <c r="H217"/>
      <c r="I217"/>
      <c r="J217" s="14"/>
    </row>
    <row r="218" spans="1:10" ht="12.75">
      <c r="A218"/>
      <c r="B218"/>
      <c r="C218"/>
      <c r="G218"/>
      <c r="H218"/>
      <c r="I218"/>
      <c r="J218" s="14"/>
    </row>
    <row r="219" spans="1:10" ht="12.75">
      <c r="A219"/>
      <c r="B219"/>
      <c r="C219"/>
      <c r="G219"/>
      <c r="H219"/>
      <c r="I219"/>
      <c r="J219" s="14"/>
    </row>
    <row r="220" spans="1:10" ht="12.75">
      <c r="A220"/>
      <c r="B220"/>
      <c r="C220"/>
      <c r="G220"/>
      <c r="H220"/>
      <c r="I220"/>
      <c r="J220" s="14"/>
    </row>
    <row r="221" spans="1:10" ht="12.75">
      <c r="A221"/>
      <c r="B221"/>
      <c r="C221"/>
      <c r="G221"/>
      <c r="H221"/>
      <c r="I221"/>
      <c r="J221" s="14"/>
    </row>
    <row r="222" spans="1:10" ht="12.75">
      <c r="A222"/>
      <c r="B222"/>
      <c r="C222"/>
      <c r="G222"/>
      <c r="H222"/>
      <c r="I222"/>
      <c r="J222" s="14"/>
    </row>
    <row r="223" spans="1:10" ht="12.75">
      <c r="A223"/>
      <c r="B223"/>
      <c r="C223"/>
      <c r="G223"/>
      <c r="H223"/>
      <c r="I223"/>
      <c r="J223" s="14"/>
    </row>
    <row r="224" spans="1:10" ht="12.75">
      <c r="A224"/>
      <c r="B224"/>
      <c r="C224"/>
      <c r="G224"/>
      <c r="H224"/>
      <c r="I224"/>
      <c r="J224" s="14"/>
    </row>
    <row r="225" spans="1:10" ht="12.75">
      <c r="A225"/>
      <c r="B225"/>
      <c r="C225"/>
      <c r="G225"/>
      <c r="H225"/>
      <c r="I225"/>
      <c r="J225" s="14"/>
    </row>
    <row r="226" spans="1:10" ht="12.75">
      <c r="A226"/>
      <c r="B226"/>
      <c r="C226"/>
      <c r="G226"/>
      <c r="H226"/>
      <c r="I226"/>
      <c r="J226" s="14"/>
    </row>
    <row r="227" spans="1:10" ht="12.75">
      <c r="A227"/>
      <c r="B227"/>
      <c r="C227"/>
      <c r="G227"/>
      <c r="H227"/>
      <c r="I227"/>
      <c r="J227" s="14"/>
    </row>
    <row r="228" spans="1:10" ht="12.75">
      <c r="A228"/>
      <c r="B228"/>
      <c r="C228"/>
      <c r="G228"/>
      <c r="H228"/>
      <c r="I228"/>
      <c r="J228" s="14"/>
    </row>
    <row r="229" spans="1:10" ht="12.75">
      <c r="A229"/>
      <c r="B229"/>
      <c r="C229"/>
      <c r="G229"/>
      <c r="H229"/>
      <c r="I229"/>
      <c r="J229" s="14"/>
    </row>
    <row r="230" spans="1:10" ht="12.75">
      <c r="A230"/>
      <c r="B230"/>
      <c r="C230"/>
      <c r="G230"/>
      <c r="H230"/>
      <c r="I230"/>
      <c r="J230" s="14"/>
    </row>
    <row r="231" spans="1:10" ht="12.75">
      <c r="A231"/>
      <c r="B231"/>
      <c r="C231"/>
      <c r="G231"/>
      <c r="H231"/>
      <c r="I231"/>
      <c r="J231" s="14"/>
    </row>
    <row r="232" spans="1:10" ht="12.75">
      <c r="A232"/>
      <c r="B232"/>
      <c r="C232"/>
      <c r="G232"/>
      <c r="H232"/>
      <c r="I232"/>
      <c r="J232" s="14"/>
    </row>
    <row r="233" spans="1:10" ht="12.75">
      <c r="A233"/>
      <c r="B233"/>
      <c r="C233"/>
      <c r="G233"/>
      <c r="H233"/>
      <c r="I233"/>
      <c r="J233" s="14"/>
    </row>
    <row r="234" spans="1:10" ht="12.75">
      <c r="A234"/>
      <c r="B234"/>
      <c r="C234"/>
      <c r="G234"/>
      <c r="H234"/>
      <c r="I234"/>
      <c r="J234" s="14"/>
    </row>
    <row r="235" spans="1:10" ht="12.75">
      <c r="A235"/>
      <c r="B235"/>
      <c r="C235"/>
      <c r="G235"/>
      <c r="H235"/>
      <c r="I235"/>
      <c r="J235" s="14"/>
    </row>
    <row r="236" spans="1:10" ht="12.75">
      <c r="A236"/>
      <c r="B236"/>
      <c r="C236"/>
      <c r="G236"/>
      <c r="H236"/>
      <c r="I236"/>
      <c r="J236" s="14"/>
    </row>
    <row r="237" spans="1:10" ht="12.75">
      <c r="A237"/>
      <c r="B237"/>
      <c r="C237"/>
      <c r="G237"/>
      <c r="H237"/>
      <c r="I237"/>
      <c r="J237" s="14"/>
    </row>
    <row r="238" spans="1:10" ht="12.75">
      <c r="A238"/>
      <c r="B238"/>
      <c r="C238"/>
      <c r="G238"/>
      <c r="H238"/>
      <c r="I238"/>
      <c r="J238" s="14"/>
    </row>
    <row r="239" spans="1:10" ht="12.75">
      <c r="A239"/>
      <c r="B239"/>
      <c r="C239"/>
      <c r="G239"/>
      <c r="H239"/>
      <c r="I239"/>
      <c r="J239" s="14"/>
    </row>
    <row r="240" spans="1:10" ht="12.75">
      <c r="A240"/>
      <c r="B240"/>
      <c r="C240"/>
      <c r="G240"/>
      <c r="H240"/>
      <c r="I240"/>
      <c r="J240" s="14"/>
    </row>
    <row r="241" spans="1:10" ht="12.75">
      <c r="A241"/>
      <c r="B241"/>
      <c r="C241"/>
      <c r="G241"/>
      <c r="H241"/>
      <c r="I241"/>
      <c r="J241" s="14"/>
    </row>
    <row r="242" spans="1:10" ht="12.75">
      <c r="A242"/>
      <c r="B242"/>
      <c r="C242"/>
      <c r="G242"/>
      <c r="H242"/>
      <c r="I242"/>
      <c r="J242" s="14"/>
    </row>
    <row r="243" spans="1:10" ht="12.75">
      <c r="A243"/>
      <c r="B243"/>
      <c r="C243"/>
      <c r="G243"/>
      <c r="H243"/>
      <c r="I243"/>
      <c r="J243" s="14"/>
    </row>
    <row r="244" spans="1:10" ht="12.75">
      <c r="A244"/>
      <c r="B244"/>
      <c r="C244"/>
      <c r="G244"/>
      <c r="H244"/>
      <c r="I244"/>
      <c r="J244" s="14"/>
    </row>
    <row r="245" spans="1:10" ht="12.75">
      <c r="A245"/>
      <c r="B245"/>
      <c r="C245"/>
      <c r="G245"/>
      <c r="H245"/>
      <c r="I245"/>
      <c r="J245" s="14"/>
    </row>
    <row r="246" spans="1:10" ht="12.75">
      <c r="A246"/>
      <c r="B246"/>
      <c r="C246"/>
      <c r="G246"/>
      <c r="H246"/>
      <c r="I246"/>
      <c r="J246" s="14"/>
    </row>
    <row r="247" spans="1:10" ht="12.75">
      <c r="A247"/>
      <c r="B247"/>
      <c r="C247"/>
      <c r="G247"/>
      <c r="H247"/>
      <c r="I247"/>
      <c r="J247" s="14"/>
    </row>
    <row r="248" spans="1:10" ht="12.75">
      <c r="A248"/>
      <c r="B248"/>
      <c r="C248"/>
      <c r="G248"/>
      <c r="H248"/>
      <c r="I248"/>
      <c r="J248" s="14"/>
    </row>
    <row r="249" spans="1:10" ht="12.75">
      <c r="A249"/>
      <c r="B249"/>
      <c r="C249"/>
      <c r="G249"/>
      <c r="H249"/>
      <c r="I249"/>
      <c r="J249" s="14"/>
    </row>
    <row r="250" spans="1:10" ht="12.75">
      <c r="A250"/>
      <c r="B250"/>
      <c r="C250"/>
      <c r="G250"/>
      <c r="H250"/>
      <c r="I250"/>
      <c r="J250" s="14"/>
    </row>
    <row r="251" spans="1:10" ht="12.75">
      <c r="A251"/>
      <c r="B251"/>
      <c r="C251"/>
      <c r="G251"/>
      <c r="H251"/>
      <c r="I251"/>
      <c r="J251" s="14"/>
    </row>
    <row r="252" spans="1:10" ht="12.75">
      <c r="A252"/>
      <c r="B252"/>
      <c r="C252"/>
      <c r="G252"/>
      <c r="H252"/>
      <c r="I252"/>
      <c r="J252" s="14"/>
    </row>
    <row r="253" spans="1:10" ht="12.75">
      <c r="A253"/>
      <c r="B253"/>
      <c r="C253"/>
      <c r="G253"/>
      <c r="H253"/>
      <c r="I253"/>
      <c r="J253" s="14"/>
    </row>
    <row r="254" spans="1:10" ht="12.75">
      <c r="A254"/>
      <c r="B254"/>
      <c r="C254"/>
      <c r="G254"/>
      <c r="H254"/>
      <c r="I254"/>
      <c r="J254" s="14"/>
    </row>
    <row r="255" spans="1:10" ht="12.75">
      <c r="A255"/>
      <c r="B255"/>
      <c r="C255"/>
      <c r="G255"/>
      <c r="H255"/>
      <c r="I255"/>
      <c r="J255" s="14"/>
    </row>
    <row r="256" spans="1:10" ht="12.75">
      <c r="A256"/>
      <c r="B256"/>
      <c r="C256"/>
      <c r="G256"/>
      <c r="H256"/>
      <c r="I256"/>
      <c r="J256" s="14"/>
    </row>
    <row r="257" spans="1:10" ht="12.75">
      <c r="A257"/>
      <c r="B257"/>
      <c r="C257"/>
      <c r="G257"/>
      <c r="H257"/>
      <c r="I257"/>
      <c r="J257" s="14"/>
    </row>
    <row r="258" spans="1:10" ht="12.75">
      <c r="A258"/>
      <c r="B258"/>
      <c r="C258"/>
      <c r="G258"/>
      <c r="H258"/>
      <c r="I258"/>
      <c r="J258" s="14"/>
    </row>
    <row r="259" spans="1:10" ht="12.75">
      <c r="A259"/>
      <c r="B259"/>
      <c r="C259"/>
      <c r="G259"/>
      <c r="H259"/>
      <c r="I259"/>
      <c r="J259" s="14"/>
    </row>
    <row r="260" spans="1:10" ht="12.75">
      <c r="A260"/>
      <c r="B260"/>
      <c r="C260"/>
      <c r="G260"/>
      <c r="H260"/>
      <c r="I260"/>
      <c r="J260" s="14"/>
    </row>
    <row r="261" spans="1:10" ht="12.75">
      <c r="A261"/>
      <c r="B261"/>
      <c r="C261"/>
      <c r="G261"/>
      <c r="H261"/>
      <c r="I261"/>
      <c r="J261" s="14"/>
    </row>
    <row r="262" spans="1:10" ht="12.75">
      <c r="A262"/>
      <c r="B262"/>
      <c r="C262"/>
      <c r="G262"/>
      <c r="H262"/>
      <c r="I262"/>
      <c r="J262" s="14"/>
    </row>
    <row r="263" spans="1:10" ht="12.75">
      <c r="A263"/>
      <c r="B263"/>
      <c r="C263"/>
      <c r="G263"/>
      <c r="H263"/>
      <c r="I263"/>
      <c r="J263" s="14"/>
    </row>
    <row r="264" spans="1:10" ht="12.75">
      <c r="A264"/>
      <c r="B264"/>
      <c r="C264"/>
      <c r="G264"/>
      <c r="H264"/>
      <c r="I264"/>
      <c r="J264" s="14"/>
    </row>
    <row r="265" spans="1:10" ht="12.75">
      <c r="A265"/>
      <c r="B265"/>
      <c r="C265"/>
      <c r="G265"/>
      <c r="H265"/>
      <c r="I265"/>
      <c r="J265" s="14"/>
    </row>
    <row r="266" spans="1:10" ht="12.75">
      <c r="A266"/>
      <c r="B266"/>
      <c r="C266"/>
      <c r="G266"/>
      <c r="H266"/>
      <c r="I266"/>
      <c r="J266" s="14"/>
    </row>
    <row r="267" spans="1:10" ht="12.75">
      <c r="A267"/>
      <c r="B267"/>
      <c r="C267"/>
      <c r="G267"/>
      <c r="H267"/>
      <c r="I267"/>
      <c r="J267" s="14"/>
    </row>
    <row r="268" spans="1:10" ht="12.75">
      <c r="A268"/>
      <c r="B268"/>
      <c r="C268"/>
      <c r="G268"/>
      <c r="H268"/>
      <c r="I268"/>
      <c r="J268" s="14"/>
    </row>
    <row r="269" spans="1:10" ht="12.75">
      <c r="A269"/>
      <c r="B269"/>
      <c r="C269"/>
      <c r="G269"/>
      <c r="H269"/>
      <c r="I269"/>
      <c r="J269" s="14"/>
    </row>
    <row r="270" spans="1:10" ht="12.75">
      <c r="A270"/>
      <c r="B270"/>
      <c r="C270"/>
      <c r="G270"/>
      <c r="H270"/>
      <c r="I270"/>
      <c r="J270" s="14"/>
    </row>
    <row r="271" spans="1:10" ht="12.75">
      <c r="A271"/>
      <c r="B271"/>
      <c r="C271"/>
      <c r="G271"/>
      <c r="H271"/>
      <c r="I271"/>
      <c r="J271" s="14"/>
    </row>
    <row r="272" spans="1:10" ht="12.75">
      <c r="A272"/>
      <c r="B272"/>
      <c r="C272"/>
      <c r="G272"/>
      <c r="H272"/>
      <c r="I272"/>
      <c r="J272" s="14"/>
    </row>
    <row r="273" spans="1:10" ht="12.75">
      <c r="A273"/>
      <c r="B273"/>
      <c r="C273"/>
      <c r="G273"/>
      <c r="H273"/>
      <c r="I273"/>
      <c r="J273" s="14"/>
    </row>
    <row r="274" spans="1:10" ht="12.75">
      <c r="A274"/>
      <c r="B274"/>
      <c r="C274"/>
      <c r="G274"/>
      <c r="H274"/>
      <c r="I274"/>
      <c r="J274" s="14"/>
    </row>
    <row r="275" spans="1:10" ht="12.75">
      <c r="A275"/>
      <c r="B275"/>
      <c r="C275"/>
      <c r="G275"/>
      <c r="H275"/>
      <c r="I275"/>
      <c r="J275" s="14"/>
    </row>
    <row r="276" spans="1:10" ht="12.75">
      <c r="A276"/>
      <c r="B276"/>
      <c r="C276"/>
      <c r="G276"/>
      <c r="H276"/>
      <c r="I276"/>
      <c r="J276" s="14"/>
    </row>
    <row r="277" spans="1:10" ht="12.75">
      <c r="A277"/>
      <c r="B277"/>
      <c r="C277"/>
      <c r="G277"/>
      <c r="H277"/>
      <c r="I277"/>
      <c r="J277" s="14"/>
    </row>
    <row r="278" spans="1:10" ht="12.75">
      <c r="A278"/>
      <c r="B278"/>
      <c r="C278"/>
      <c r="G278"/>
      <c r="H278"/>
      <c r="I278"/>
      <c r="J278" s="14"/>
    </row>
    <row r="279" spans="1:10" ht="12.75">
      <c r="A279"/>
      <c r="B279"/>
      <c r="C279"/>
      <c r="G279"/>
      <c r="H279"/>
      <c r="I279"/>
      <c r="J279" s="14"/>
    </row>
    <row r="280" spans="1:10" ht="12.75">
      <c r="A280"/>
      <c r="B280"/>
      <c r="C280"/>
      <c r="G280"/>
      <c r="H280"/>
      <c r="I280"/>
      <c r="J280" s="14"/>
    </row>
    <row r="281" spans="1:10" ht="12.75">
      <c r="A281"/>
      <c r="B281"/>
      <c r="C281"/>
      <c r="G281"/>
      <c r="H281"/>
      <c r="I281"/>
      <c r="J281" s="14"/>
    </row>
    <row r="282" spans="1:10" ht="12.75">
      <c r="A282"/>
      <c r="B282"/>
      <c r="C282"/>
      <c r="G282"/>
      <c r="H282"/>
      <c r="I282"/>
      <c r="J282" s="14"/>
    </row>
    <row r="283" spans="1:10" ht="12.75">
      <c r="A283"/>
      <c r="B283"/>
      <c r="C283"/>
      <c r="G283"/>
      <c r="H283"/>
      <c r="I283"/>
      <c r="J283" s="14"/>
    </row>
    <row r="284" spans="1:10" ht="12.75">
      <c r="A284"/>
      <c r="B284"/>
      <c r="C284"/>
      <c r="G284"/>
      <c r="H284"/>
      <c r="I284"/>
      <c r="J284" s="14"/>
    </row>
    <row r="285" spans="1:10" ht="12.75">
      <c r="A285"/>
      <c r="B285"/>
      <c r="C285"/>
      <c r="G285"/>
      <c r="H285"/>
      <c r="I285"/>
      <c r="J285" s="14"/>
    </row>
    <row r="286" spans="1:10" ht="12.75">
      <c r="A286"/>
      <c r="B286"/>
      <c r="C286"/>
      <c r="G286"/>
      <c r="H286"/>
      <c r="I286"/>
      <c r="J286" s="14"/>
    </row>
    <row r="287" spans="1:10" ht="12.75">
      <c r="A287"/>
      <c r="B287"/>
      <c r="C287"/>
      <c r="G287"/>
      <c r="H287"/>
      <c r="I287"/>
      <c r="J287" s="14"/>
    </row>
    <row r="288" spans="1:10" ht="12.75">
      <c r="A288"/>
      <c r="B288"/>
      <c r="C288"/>
      <c r="G288"/>
      <c r="H288"/>
      <c r="I288"/>
      <c r="J288" s="14"/>
    </row>
    <row r="289" spans="1:10" ht="12.75">
      <c r="A289"/>
      <c r="B289"/>
      <c r="C289"/>
      <c r="G289"/>
      <c r="H289"/>
      <c r="I289"/>
      <c r="J289" s="14"/>
    </row>
    <row r="290" spans="1:10" ht="12.75">
      <c r="A290"/>
      <c r="B290"/>
      <c r="C290"/>
      <c r="G290"/>
      <c r="H290"/>
      <c r="I290"/>
      <c r="J290" s="14"/>
    </row>
    <row r="291" spans="1:10" ht="12.75">
      <c r="A291"/>
      <c r="B291"/>
      <c r="C291"/>
      <c r="G291"/>
      <c r="H291"/>
      <c r="I291"/>
      <c r="J291" s="14"/>
    </row>
    <row r="292" spans="1:10" ht="12.75">
      <c r="A292"/>
      <c r="B292"/>
      <c r="C292"/>
      <c r="G292"/>
      <c r="H292"/>
      <c r="I292"/>
      <c r="J292" s="14"/>
    </row>
    <row r="293" spans="1:10" ht="12.75">
      <c r="A293"/>
      <c r="B293"/>
      <c r="C293"/>
      <c r="G293"/>
      <c r="H293"/>
      <c r="I293"/>
      <c r="J293" s="14"/>
    </row>
    <row r="294" spans="1:10" ht="12.75">
      <c r="A294"/>
      <c r="B294"/>
      <c r="C294"/>
      <c r="G294"/>
      <c r="H294"/>
      <c r="I294"/>
      <c r="J294" s="14"/>
    </row>
    <row r="295" spans="1:10" ht="12.75">
      <c r="A295"/>
      <c r="B295"/>
      <c r="C295"/>
      <c r="G295"/>
      <c r="H295"/>
      <c r="I295"/>
      <c r="J295" s="14"/>
    </row>
    <row r="296" spans="1:10" ht="12.75">
      <c r="A296"/>
      <c r="B296"/>
      <c r="C296"/>
      <c r="G296"/>
      <c r="H296"/>
      <c r="I296"/>
      <c r="J296" s="14"/>
    </row>
    <row r="297" spans="1:10" ht="12.75">
      <c r="A297"/>
      <c r="B297"/>
      <c r="C297"/>
      <c r="G297"/>
      <c r="H297"/>
      <c r="I297"/>
      <c r="J297" s="14"/>
    </row>
    <row r="298" spans="1:10" ht="12.75">
      <c r="A298"/>
      <c r="B298"/>
      <c r="C298"/>
      <c r="G298"/>
      <c r="H298"/>
      <c r="I298"/>
      <c r="J298" s="14"/>
    </row>
    <row r="299" spans="1:10" ht="12.75">
      <c r="A299"/>
      <c r="B299"/>
      <c r="C299"/>
      <c r="G299"/>
      <c r="H299"/>
      <c r="I299"/>
      <c r="J299" s="14"/>
    </row>
    <row r="300" spans="1:10" ht="12.75">
      <c r="A300"/>
      <c r="B300"/>
      <c r="C300"/>
      <c r="G300"/>
      <c r="H300"/>
      <c r="I300"/>
      <c r="J300" s="14"/>
    </row>
    <row r="301" spans="1:10" ht="12.75">
      <c r="A301"/>
      <c r="B301"/>
      <c r="C301"/>
      <c r="G301"/>
      <c r="H301"/>
      <c r="I301"/>
      <c r="J301" s="14"/>
    </row>
    <row r="302" spans="1:10" ht="12.75">
      <c r="A302"/>
      <c r="B302"/>
      <c r="C302"/>
      <c r="G302"/>
      <c r="H302"/>
      <c r="I302"/>
      <c r="J302" s="14"/>
    </row>
    <row r="303" spans="1:10" ht="12.75">
      <c r="A303"/>
      <c r="B303"/>
      <c r="C303"/>
      <c r="G303"/>
      <c r="H303"/>
      <c r="I303"/>
      <c r="J303" s="14"/>
    </row>
    <row r="304" spans="1:10" ht="12.75">
      <c r="A304"/>
      <c r="B304"/>
      <c r="C304"/>
      <c r="G304"/>
      <c r="H304"/>
      <c r="I304"/>
      <c r="J304" s="14"/>
    </row>
    <row r="305" spans="1:10" ht="12.75">
      <c r="A305"/>
      <c r="B305"/>
      <c r="C305"/>
      <c r="G305"/>
      <c r="H305"/>
      <c r="I305"/>
      <c r="J305" s="14"/>
    </row>
    <row r="306" spans="1:10" ht="12.75">
      <c r="A306"/>
      <c r="B306"/>
      <c r="C306"/>
      <c r="G306"/>
      <c r="H306"/>
      <c r="I306"/>
      <c r="J306" s="14"/>
    </row>
    <row r="307" spans="1:10" ht="12.75">
      <c r="A307"/>
      <c r="B307"/>
      <c r="C307"/>
      <c r="G307"/>
      <c r="H307"/>
      <c r="I307"/>
      <c r="J307" s="14"/>
    </row>
    <row r="308" spans="1:10" ht="12.75">
      <c r="A308"/>
      <c r="B308"/>
      <c r="C308"/>
      <c r="G308"/>
      <c r="H308"/>
      <c r="I308"/>
      <c r="J308" s="14"/>
    </row>
    <row r="309" spans="1:10" ht="12.75">
      <c r="A309"/>
      <c r="B309"/>
      <c r="C309"/>
      <c r="G309"/>
      <c r="H309"/>
      <c r="I309"/>
      <c r="J309" s="14"/>
    </row>
    <row r="310" spans="1:10" ht="12.75">
      <c r="A310"/>
      <c r="B310"/>
      <c r="C310"/>
      <c r="G310"/>
      <c r="H310"/>
      <c r="I310"/>
      <c r="J310" s="14"/>
    </row>
    <row r="311" spans="1:10" ht="12.75">
      <c r="A311"/>
      <c r="B311"/>
      <c r="C311"/>
      <c r="G311"/>
      <c r="H311"/>
      <c r="I311"/>
      <c r="J311" s="14"/>
    </row>
    <row r="312" spans="1:10" ht="12.75">
      <c r="A312"/>
      <c r="B312"/>
      <c r="C312"/>
      <c r="G312"/>
      <c r="H312"/>
      <c r="I312"/>
      <c r="J312" s="14"/>
    </row>
    <row r="313" spans="1:10" ht="12.75">
      <c r="A313"/>
      <c r="B313"/>
      <c r="C313"/>
      <c r="G313"/>
      <c r="H313"/>
      <c r="I313"/>
      <c r="J313" s="14"/>
    </row>
    <row r="314" spans="1:10" ht="12.75">
      <c r="A314"/>
      <c r="B314"/>
      <c r="C314"/>
      <c r="G314"/>
      <c r="H314"/>
      <c r="I314"/>
      <c r="J314" s="14"/>
    </row>
    <row r="315" spans="1:10" ht="12.75">
      <c r="A315"/>
      <c r="B315"/>
      <c r="C315"/>
      <c r="G315"/>
      <c r="H315"/>
      <c r="I315"/>
      <c r="J315" s="14"/>
    </row>
    <row r="316" spans="1:10" ht="12.75">
      <c r="A316"/>
      <c r="B316"/>
      <c r="C316"/>
      <c r="G316"/>
      <c r="H316"/>
      <c r="I316"/>
      <c r="J316" s="14"/>
    </row>
    <row r="317" spans="1:10" ht="12.75">
      <c r="A317"/>
      <c r="B317"/>
      <c r="C317"/>
      <c r="G317"/>
      <c r="H317"/>
      <c r="I317"/>
      <c r="J317" s="14"/>
    </row>
    <row r="318" spans="1:10" ht="12.75">
      <c r="A318"/>
      <c r="B318"/>
      <c r="C318"/>
      <c r="G318"/>
      <c r="H318"/>
      <c r="I318"/>
      <c r="J318" s="14"/>
    </row>
    <row r="319" spans="1:10" ht="12.75">
      <c r="A319"/>
      <c r="B319"/>
      <c r="C319"/>
      <c r="G319"/>
      <c r="H319"/>
      <c r="I319"/>
      <c r="J319" s="14"/>
    </row>
    <row r="320" spans="1:10" ht="12.75">
      <c r="A320"/>
      <c r="B320"/>
      <c r="C320"/>
      <c r="G320"/>
      <c r="H320"/>
      <c r="I320"/>
      <c r="J320" s="14"/>
    </row>
    <row r="321" spans="1:10" ht="12.75">
      <c r="A321"/>
      <c r="B321"/>
      <c r="C321"/>
      <c r="G321"/>
      <c r="H321"/>
      <c r="I321"/>
      <c r="J321" s="14"/>
    </row>
    <row r="322" spans="1:10" ht="12.75">
      <c r="A322"/>
      <c r="B322"/>
      <c r="C322"/>
      <c r="G322"/>
      <c r="H322"/>
      <c r="I322"/>
      <c r="J322" s="14"/>
    </row>
    <row r="323" spans="1:10" ht="12.75">
      <c r="A323"/>
      <c r="B323"/>
      <c r="C323"/>
      <c r="G323"/>
      <c r="H323"/>
      <c r="I323"/>
      <c r="J323" s="14"/>
    </row>
    <row r="324" spans="1:10" ht="12.75">
      <c r="A324"/>
      <c r="B324"/>
      <c r="C324"/>
      <c r="G324"/>
      <c r="H324"/>
      <c r="I324"/>
      <c r="J324" s="14"/>
    </row>
    <row r="325" spans="1:10" ht="12.75">
      <c r="A325"/>
      <c r="B325"/>
      <c r="C325"/>
      <c r="G325"/>
      <c r="H325"/>
      <c r="I325"/>
      <c r="J325" s="14"/>
    </row>
    <row r="326" spans="1:10" ht="12.75">
      <c r="A326"/>
      <c r="B326"/>
      <c r="C326"/>
      <c r="G326"/>
      <c r="H326"/>
      <c r="I326"/>
      <c r="J326" s="14"/>
    </row>
    <row r="327" spans="1:10" ht="12.75">
      <c r="A327"/>
      <c r="B327"/>
      <c r="C327"/>
      <c r="G327"/>
      <c r="H327"/>
      <c r="I327"/>
      <c r="J327" s="14"/>
    </row>
    <row r="328" spans="1:10" ht="12.75">
      <c r="A328"/>
      <c r="B328"/>
      <c r="C328"/>
      <c r="G328"/>
      <c r="H328"/>
      <c r="I328"/>
      <c r="J328" s="14"/>
    </row>
    <row r="329" spans="1:10" ht="12.75">
      <c r="A329"/>
      <c r="B329"/>
      <c r="C329"/>
      <c r="G329"/>
      <c r="H329"/>
      <c r="I329"/>
      <c r="J329" s="14"/>
    </row>
    <row r="330" spans="1:10" ht="12.75">
      <c r="A330"/>
      <c r="B330"/>
      <c r="C330"/>
      <c r="G330"/>
      <c r="H330"/>
      <c r="I330"/>
      <c r="J330" s="14"/>
    </row>
    <row r="331" spans="1:10" ht="12.75">
      <c r="A331"/>
      <c r="B331"/>
      <c r="C331"/>
      <c r="G331"/>
      <c r="H331"/>
      <c r="I331"/>
      <c r="J331" s="14"/>
    </row>
    <row r="332" spans="1:10" ht="12.75">
      <c r="A332"/>
      <c r="B332"/>
      <c r="C332"/>
      <c r="G332"/>
      <c r="H332"/>
      <c r="I332"/>
      <c r="J332" s="14"/>
    </row>
    <row r="333" spans="1:10" ht="12.75">
      <c r="A333"/>
      <c r="B333"/>
      <c r="C333"/>
      <c r="G333"/>
      <c r="H333"/>
      <c r="I333"/>
      <c r="J333" s="14"/>
    </row>
    <row r="334" spans="1:10" ht="12.75">
      <c r="A334"/>
      <c r="B334"/>
      <c r="C334"/>
      <c r="G334"/>
      <c r="H334"/>
      <c r="I334"/>
      <c r="J334" s="14"/>
    </row>
    <row r="335" spans="1:10" ht="12.75">
      <c r="A335"/>
      <c r="B335"/>
      <c r="C335"/>
      <c r="G335"/>
      <c r="H335"/>
      <c r="I335"/>
      <c r="J335" s="14"/>
    </row>
    <row r="336" spans="1:10" ht="12.75">
      <c r="A336"/>
      <c r="B336"/>
      <c r="C336"/>
      <c r="G336"/>
      <c r="H336"/>
      <c r="I336"/>
      <c r="J336" s="14"/>
    </row>
    <row r="337" spans="1:10" ht="12.75">
      <c r="A337"/>
      <c r="B337"/>
      <c r="C337"/>
      <c r="G337"/>
      <c r="H337"/>
      <c r="I337"/>
      <c r="J337" s="14"/>
    </row>
    <row r="338" spans="1:10" ht="12.75">
      <c r="A338"/>
      <c r="B338"/>
      <c r="C338"/>
      <c r="G338"/>
      <c r="H338"/>
      <c r="I338"/>
      <c r="J338" s="14"/>
    </row>
    <row r="339" spans="1:10" ht="12.75">
      <c r="A339"/>
      <c r="B339"/>
      <c r="C339"/>
      <c r="G339"/>
      <c r="H339"/>
      <c r="I339"/>
      <c r="J339" s="14"/>
    </row>
    <row r="340" spans="1:10" ht="12.75">
      <c r="A340"/>
      <c r="B340"/>
      <c r="C340"/>
      <c r="G340"/>
      <c r="H340"/>
      <c r="I340"/>
      <c r="J340" s="14"/>
    </row>
    <row r="341" spans="1:10" ht="12.75">
      <c r="A341"/>
      <c r="B341"/>
      <c r="C341"/>
      <c r="G341"/>
      <c r="H341"/>
      <c r="I341"/>
      <c r="J341" s="14"/>
    </row>
    <row r="342" spans="1:10" ht="12.75">
      <c r="A342"/>
      <c r="B342"/>
      <c r="C342"/>
      <c r="G342"/>
      <c r="H342"/>
      <c r="I342"/>
      <c r="J342" s="14"/>
    </row>
    <row r="343" spans="1:10" ht="12.75">
      <c r="A343"/>
      <c r="B343"/>
      <c r="C343"/>
      <c r="G343"/>
      <c r="H343"/>
      <c r="I343"/>
      <c r="J343" s="14"/>
    </row>
    <row r="344" spans="1:10" ht="12.75">
      <c r="A344"/>
      <c r="B344"/>
      <c r="C344"/>
      <c r="G344"/>
      <c r="H344"/>
      <c r="I344"/>
      <c r="J344" s="14"/>
    </row>
    <row r="345" spans="1:10" ht="12.75">
      <c r="A345"/>
      <c r="B345"/>
      <c r="C345"/>
      <c r="G345"/>
      <c r="H345"/>
      <c r="I345"/>
      <c r="J345" s="14"/>
    </row>
    <row r="346" spans="1:10" ht="12.75">
      <c r="A346"/>
      <c r="B346"/>
      <c r="C346"/>
      <c r="G346"/>
      <c r="H346"/>
      <c r="I346"/>
      <c r="J346" s="14"/>
    </row>
    <row r="347" spans="1:10" ht="12.75">
      <c r="A347"/>
      <c r="B347"/>
      <c r="C347"/>
      <c r="G347"/>
      <c r="H347"/>
      <c r="I347"/>
      <c r="J347" s="14"/>
    </row>
    <row r="348" spans="1:10" ht="12.75">
      <c r="A348"/>
      <c r="B348"/>
      <c r="C348"/>
      <c r="G348"/>
      <c r="H348"/>
      <c r="I348"/>
      <c r="J348" s="14"/>
    </row>
    <row r="349" spans="1:10" ht="12.75">
      <c r="A349"/>
      <c r="B349"/>
      <c r="C349"/>
      <c r="G349"/>
      <c r="H349"/>
      <c r="I349"/>
      <c r="J349" s="14"/>
    </row>
    <row r="350" spans="1:10" ht="12.75">
      <c r="A350"/>
      <c r="B350"/>
      <c r="C350"/>
      <c r="G350"/>
      <c r="H350"/>
      <c r="I350"/>
      <c r="J350" s="14"/>
    </row>
    <row r="351" spans="1:10" ht="12.75">
      <c r="A351"/>
      <c r="B351"/>
      <c r="C351"/>
      <c r="G351"/>
      <c r="H351"/>
      <c r="I351"/>
      <c r="J351" s="14"/>
    </row>
    <row r="352" spans="1:10" ht="12.75">
      <c r="A352"/>
      <c r="B352"/>
      <c r="C352"/>
      <c r="G352"/>
      <c r="H352"/>
      <c r="I352"/>
      <c r="J352" s="14"/>
    </row>
    <row r="353" spans="1:10" ht="12.75">
      <c r="A353"/>
      <c r="B353"/>
      <c r="C353"/>
      <c r="G353"/>
      <c r="H353"/>
      <c r="I353"/>
      <c r="J353" s="14"/>
    </row>
    <row r="354" spans="1:10" ht="12.75">
      <c r="A354"/>
      <c r="B354"/>
      <c r="C354"/>
      <c r="G354"/>
      <c r="H354"/>
      <c r="I354"/>
      <c r="J354" s="14"/>
    </row>
    <row r="355" spans="1:10" ht="12.75">
      <c r="A355"/>
      <c r="B355"/>
      <c r="C355"/>
      <c r="G355"/>
      <c r="H355"/>
      <c r="I355"/>
      <c r="J355" s="14"/>
    </row>
    <row r="356" spans="1:10" ht="12.75">
      <c r="A356"/>
      <c r="B356"/>
      <c r="C356"/>
      <c r="G356"/>
      <c r="H356"/>
      <c r="I356"/>
      <c r="J356" s="14"/>
    </row>
    <row r="357" spans="1:10" ht="12.75">
      <c r="A357"/>
      <c r="B357"/>
      <c r="C357"/>
      <c r="G357"/>
      <c r="H357"/>
      <c r="I357"/>
      <c r="J357" s="14"/>
    </row>
    <row r="358" spans="1:10" ht="12.75">
      <c r="A358"/>
      <c r="B358"/>
      <c r="C358"/>
      <c r="G358"/>
      <c r="H358"/>
      <c r="I358"/>
      <c r="J358" s="14"/>
    </row>
    <row r="359" spans="1:10" ht="12.75">
      <c r="A359"/>
      <c r="B359"/>
      <c r="C359"/>
      <c r="G359"/>
      <c r="H359"/>
      <c r="I359"/>
      <c r="J359" s="14"/>
    </row>
    <row r="360" spans="1:10" ht="12.75">
      <c r="A360"/>
      <c r="B360"/>
      <c r="C360"/>
      <c r="G360"/>
      <c r="H360"/>
      <c r="I360"/>
      <c r="J360" s="14"/>
    </row>
    <row r="361" spans="1:10" ht="12.75">
      <c r="A361"/>
      <c r="B361"/>
      <c r="C361"/>
      <c r="G361"/>
      <c r="H361"/>
      <c r="I361"/>
      <c r="J361" s="14"/>
    </row>
    <row r="362" spans="1:10" ht="12.75">
      <c r="A362"/>
      <c r="B362"/>
      <c r="C362"/>
      <c r="G362"/>
      <c r="H362"/>
      <c r="I362"/>
      <c r="J362" s="14"/>
    </row>
    <row r="363" spans="1:10" ht="12.75">
      <c r="A363"/>
      <c r="B363"/>
      <c r="C363"/>
      <c r="G363"/>
      <c r="H363"/>
      <c r="I363"/>
      <c r="J363" s="14"/>
    </row>
    <row r="364" spans="1:10" ht="12.75">
      <c r="A364"/>
      <c r="B364"/>
      <c r="C364"/>
      <c r="G364"/>
      <c r="H364"/>
      <c r="I364"/>
      <c r="J364" s="14"/>
    </row>
    <row r="365" spans="1:10" ht="12.75">
      <c r="A365"/>
      <c r="B365"/>
      <c r="C365"/>
      <c r="G365"/>
      <c r="H365"/>
      <c r="I365"/>
      <c r="J365" s="14"/>
    </row>
    <row r="366" spans="1:10" ht="12.75">
      <c r="A366"/>
      <c r="B366"/>
      <c r="C366"/>
      <c r="G366"/>
      <c r="H366"/>
      <c r="I366"/>
      <c r="J366" s="14"/>
    </row>
    <row r="367" spans="1:10" ht="12.75">
      <c r="A367"/>
      <c r="B367"/>
      <c r="C367"/>
      <c r="G367"/>
      <c r="H367"/>
      <c r="I367"/>
      <c r="J367" s="14"/>
    </row>
    <row r="368" spans="1:10" ht="12.75">
      <c r="A368"/>
      <c r="B368"/>
      <c r="C368"/>
      <c r="G368"/>
      <c r="H368"/>
      <c r="I368"/>
      <c r="J368" s="14"/>
    </row>
    <row r="369" spans="1:10" ht="12.75">
      <c r="A369"/>
      <c r="B369"/>
      <c r="C369"/>
      <c r="G369"/>
      <c r="H369"/>
      <c r="I369"/>
      <c r="J369" s="14"/>
    </row>
    <row r="370" spans="1:10" ht="12.75">
      <c r="A370"/>
      <c r="B370"/>
      <c r="C370"/>
      <c r="G370"/>
      <c r="H370"/>
      <c r="I370"/>
      <c r="J370" s="14"/>
    </row>
    <row r="371" spans="1:10" ht="12.75">
      <c r="A371"/>
      <c r="B371"/>
      <c r="C371"/>
      <c r="G371"/>
      <c r="H371"/>
      <c r="I371"/>
      <c r="J371" s="14"/>
    </row>
    <row r="372" spans="1:10" ht="12.75">
      <c r="A372"/>
      <c r="B372"/>
      <c r="C372"/>
      <c r="G372"/>
      <c r="H372"/>
      <c r="I372"/>
      <c r="J372" s="14"/>
    </row>
    <row r="373" spans="1:10" ht="12.75">
      <c r="A373"/>
      <c r="B373"/>
      <c r="C373"/>
      <c r="G373"/>
      <c r="H373"/>
      <c r="I373"/>
      <c r="J373" s="14"/>
    </row>
    <row r="374" spans="1:10" ht="12.75">
      <c r="A374"/>
      <c r="B374"/>
      <c r="C374"/>
      <c r="G374"/>
      <c r="H374"/>
      <c r="I374"/>
      <c r="J374" s="14"/>
    </row>
    <row r="375" spans="1:10" ht="12.75">
      <c r="A375"/>
      <c r="B375"/>
      <c r="C375"/>
      <c r="G375"/>
      <c r="H375"/>
      <c r="I375"/>
      <c r="J375" s="14"/>
    </row>
    <row r="376" spans="1:10" ht="12.75">
      <c r="A376"/>
      <c r="B376"/>
      <c r="C376"/>
      <c r="G376"/>
      <c r="H376"/>
      <c r="I376"/>
      <c r="J376" s="14"/>
    </row>
    <row r="377" spans="1:10" ht="12.75">
      <c r="A377"/>
      <c r="B377"/>
      <c r="C377"/>
      <c r="G377"/>
      <c r="H377"/>
      <c r="I377"/>
      <c r="J377" s="14"/>
    </row>
    <row r="378" spans="1:10" ht="12.75">
      <c r="A378"/>
      <c r="B378"/>
      <c r="C378"/>
      <c r="G378"/>
      <c r="H378"/>
      <c r="I378"/>
      <c r="J378" s="14"/>
    </row>
    <row r="379" spans="1:10" ht="12.75">
      <c r="A379"/>
      <c r="B379"/>
      <c r="C379"/>
      <c r="G379"/>
      <c r="H379"/>
      <c r="I379"/>
      <c r="J379" s="14"/>
    </row>
    <row r="380" spans="1:10" ht="12.75">
      <c r="A380"/>
      <c r="B380"/>
      <c r="C380"/>
      <c r="G380"/>
      <c r="H380"/>
      <c r="I380"/>
      <c r="J380" s="14"/>
    </row>
    <row r="381" spans="1:10" ht="12.75">
      <c r="A381"/>
      <c r="B381"/>
      <c r="C381"/>
      <c r="G381"/>
      <c r="H381"/>
      <c r="I381"/>
      <c r="J381" s="14"/>
    </row>
    <row r="382" spans="1:10" ht="12.75">
      <c r="A382"/>
      <c r="B382"/>
      <c r="C382"/>
      <c r="G382"/>
      <c r="H382"/>
      <c r="I382"/>
      <c r="J382" s="14"/>
    </row>
    <row r="383" spans="1:10" ht="12.75">
      <c r="A383"/>
      <c r="B383"/>
      <c r="C383"/>
      <c r="G383"/>
      <c r="H383"/>
      <c r="I383"/>
      <c r="J383" s="14"/>
    </row>
    <row r="384" spans="1:10" ht="12.75">
      <c r="A384"/>
      <c r="B384"/>
      <c r="C384"/>
      <c r="G384"/>
      <c r="H384"/>
      <c r="I384"/>
      <c r="J384" s="14"/>
    </row>
    <row r="385" spans="1:10" ht="12.75">
      <c r="A385"/>
      <c r="B385"/>
      <c r="C385"/>
      <c r="G385"/>
      <c r="H385"/>
      <c r="I385"/>
      <c r="J385" s="14"/>
    </row>
    <row r="386" spans="1:10" ht="12.75">
      <c r="A386"/>
      <c r="B386"/>
      <c r="C386"/>
      <c r="G386"/>
      <c r="H386"/>
      <c r="I386"/>
      <c r="J386" s="14"/>
    </row>
    <row r="387" spans="1:10" ht="12.75">
      <c r="A387"/>
      <c r="B387"/>
      <c r="C387"/>
      <c r="G387"/>
      <c r="H387"/>
      <c r="I387"/>
      <c r="J387" s="14"/>
    </row>
    <row r="388" spans="1:10" ht="12.75">
      <c r="A388"/>
      <c r="B388"/>
      <c r="C388"/>
      <c r="G388"/>
      <c r="H388"/>
      <c r="I388"/>
      <c r="J388" s="14"/>
    </row>
    <row r="389" spans="1:10" ht="12.75">
      <c r="A389"/>
      <c r="B389"/>
      <c r="C389"/>
      <c r="G389"/>
      <c r="H389"/>
      <c r="I389"/>
      <c r="J389" s="14"/>
    </row>
    <row r="390" spans="1:10" ht="12.75">
      <c r="A390"/>
      <c r="B390"/>
      <c r="C390"/>
      <c r="G390"/>
      <c r="H390"/>
      <c r="I390"/>
      <c r="J390" s="14"/>
    </row>
    <row r="391" spans="1:10" ht="12.75">
      <c r="A391"/>
      <c r="B391"/>
      <c r="C391"/>
      <c r="G391"/>
      <c r="H391"/>
      <c r="I391"/>
      <c r="J391" s="14"/>
    </row>
    <row r="392" spans="1:10" ht="12.75">
      <c r="A392"/>
      <c r="B392"/>
      <c r="C392"/>
      <c r="G392"/>
      <c r="H392"/>
      <c r="I392"/>
      <c r="J392" s="14"/>
    </row>
    <row r="393" spans="1:10" ht="12.75">
      <c r="A393"/>
      <c r="B393"/>
      <c r="C393"/>
      <c r="G393"/>
      <c r="H393"/>
      <c r="I393"/>
      <c r="J393" s="14"/>
    </row>
    <row r="394" spans="1:10" ht="12.75">
      <c r="A394"/>
      <c r="B394"/>
      <c r="C394"/>
      <c r="G394"/>
      <c r="H394"/>
      <c r="I394"/>
      <c r="J394" s="14"/>
    </row>
    <row r="395" spans="1:10" ht="12.75">
      <c r="A395"/>
      <c r="B395"/>
      <c r="C395"/>
      <c r="G395"/>
      <c r="H395"/>
      <c r="I395"/>
      <c r="J395" s="14"/>
    </row>
    <row r="396" spans="1:10" ht="12.75">
      <c r="A396"/>
      <c r="B396"/>
      <c r="C396"/>
      <c r="G396"/>
      <c r="H396"/>
      <c r="I396"/>
      <c r="J396" s="14"/>
    </row>
    <row r="397" spans="1:10" ht="12.75">
      <c r="A397"/>
      <c r="B397"/>
      <c r="C397"/>
      <c r="G397"/>
      <c r="H397"/>
      <c r="I397"/>
      <c r="J397" s="14"/>
    </row>
    <row r="398" spans="1:10" ht="12.75">
      <c r="A398"/>
      <c r="B398"/>
      <c r="C398"/>
      <c r="G398"/>
      <c r="H398"/>
      <c r="I398"/>
      <c r="J398" s="14"/>
    </row>
    <row r="399" spans="1:10" ht="12.75">
      <c r="A399"/>
      <c r="B399"/>
      <c r="C399"/>
      <c r="G399"/>
      <c r="H399"/>
      <c r="I399"/>
      <c r="J399" s="14"/>
    </row>
    <row r="400" spans="1:10" ht="12.75">
      <c r="A400"/>
      <c r="B400"/>
      <c r="C400"/>
      <c r="G400"/>
      <c r="H400"/>
      <c r="I400"/>
      <c r="J400" s="14"/>
    </row>
    <row r="401" spans="1:10" ht="12.75">
      <c r="A401"/>
      <c r="B401"/>
      <c r="C401"/>
      <c r="G401"/>
      <c r="H401"/>
      <c r="I401"/>
      <c r="J401" s="14"/>
    </row>
    <row r="402" spans="1:10" ht="12.75">
      <c r="A402"/>
      <c r="B402"/>
      <c r="C402"/>
      <c r="G402"/>
      <c r="H402"/>
      <c r="I402"/>
      <c r="J402" s="14"/>
    </row>
    <row r="403" spans="1:10" ht="12.75">
      <c r="A403"/>
      <c r="B403"/>
      <c r="C403"/>
      <c r="G403"/>
      <c r="H403"/>
      <c r="I403"/>
      <c r="J403" s="14"/>
    </row>
    <row r="404" spans="1:10" ht="12.75">
      <c r="A404"/>
      <c r="B404"/>
      <c r="C404"/>
      <c r="G404"/>
      <c r="H404"/>
      <c r="I404"/>
      <c r="J404" s="14"/>
    </row>
    <row r="405" spans="1:10" ht="12.75">
      <c r="A405"/>
      <c r="B405"/>
      <c r="C405"/>
      <c r="G405"/>
      <c r="H405"/>
      <c r="I405"/>
      <c r="J405" s="14"/>
    </row>
    <row r="406" spans="1:10" ht="12.75">
      <c r="A406"/>
      <c r="B406"/>
      <c r="C406"/>
      <c r="G406"/>
      <c r="H406"/>
      <c r="I406"/>
      <c r="J406" s="14"/>
    </row>
    <row r="407" spans="1:10" ht="12.75">
      <c r="A407"/>
      <c r="B407"/>
      <c r="C407"/>
      <c r="G407"/>
      <c r="H407"/>
      <c r="I407"/>
      <c r="J407" s="14"/>
    </row>
    <row r="408" spans="1:10" ht="12.75">
      <c r="A408"/>
      <c r="B408"/>
      <c r="C408"/>
      <c r="G408"/>
      <c r="H408"/>
      <c r="I408"/>
      <c r="J408" s="14"/>
    </row>
    <row r="409" spans="1:10" ht="12.75">
      <c r="A409"/>
      <c r="B409"/>
      <c r="C409"/>
      <c r="G409"/>
      <c r="H409"/>
      <c r="I409"/>
      <c r="J409" s="14"/>
    </row>
    <row r="410" spans="1:10" ht="12.75">
      <c r="A410"/>
      <c r="B410"/>
      <c r="C410"/>
      <c r="G410"/>
      <c r="H410"/>
      <c r="I410"/>
      <c r="J410" s="14"/>
    </row>
    <row r="411" spans="1:10" ht="12.75">
      <c r="A411"/>
      <c r="B411"/>
      <c r="C411"/>
      <c r="G411"/>
      <c r="H411"/>
      <c r="I411"/>
      <c r="J411" s="14"/>
    </row>
    <row r="412" spans="1:10" ht="12.75">
      <c r="A412"/>
      <c r="B412"/>
      <c r="C412"/>
      <c r="G412"/>
      <c r="H412"/>
      <c r="I412"/>
      <c r="J412" s="14"/>
    </row>
    <row r="413" spans="1:10" ht="12.75">
      <c r="A413"/>
      <c r="B413"/>
      <c r="C413"/>
      <c r="G413"/>
      <c r="H413"/>
      <c r="I413"/>
      <c r="J413" s="14"/>
    </row>
    <row r="414" spans="1:10" ht="12.75">
      <c r="A414"/>
      <c r="B414"/>
      <c r="C414"/>
      <c r="G414"/>
      <c r="H414"/>
      <c r="I414"/>
      <c r="J414" s="14"/>
    </row>
    <row r="415" spans="1:10" ht="12.75">
      <c r="A415"/>
      <c r="B415"/>
      <c r="C415"/>
      <c r="G415"/>
      <c r="H415"/>
      <c r="I415"/>
      <c r="J415" s="14"/>
    </row>
    <row r="416" spans="1:10" ht="12.75">
      <c r="A416"/>
      <c r="B416"/>
      <c r="C416"/>
      <c r="G416"/>
      <c r="H416"/>
      <c r="I416"/>
      <c r="J416" s="14"/>
    </row>
    <row r="417" spans="1:10" ht="12.75">
      <c r="A417"/>
      <c r="B417"/>
      <c r="C417"/>
      <c r="G417"/>
      <c r="H417"/>
      <c r="I417"/>
      <c r="J417" s="14"/>
    </row>
    <row r="418" spans="1:10" ht="12.75">
      <c r="A418"/>
      <c r="B418"/>
      <c r="C418"/>
      <c r="G418"/>
      <c r="H418"/>
      <c r="I418"/>
      <c r="J418" s="14"/>
    </row>
    <row r="419" spans="1:10" ht="12.75">
      <c r="A419"/>
      <c r="B419"/>
      <c r="C419"/>
      <c r="G419"/>
      <c r="H419"/>
      <c r="I419"/>
      <c r="J419" s="14"/>
    </row>
    <row r="420" spans="1:10" ht="12.75">
      <c r="A420"/>
      <c r="B420"/>
      <c r="C420"/>
      <c r="G420"/>
      <c r="H420"/>
      <c r="I420"/>
      <c r="J420" s="14"/>
    </row>
    <row r="421" spans="1:10" ht="12.75">
      <c r="A421"/>
      <c r="B421"/>
      <c r="C421"/>
      <c r="G421"/>
      <c r="H421"/>
      <c r="I421"/>
      <c r="J421" s="14"/>
    </row>
    <row r="422" spans="1:10" ht="12.75">
      <c r="A422"/>
      <c r="B422"/>
      <c r="C422"/>
      <c r="G422"/>
      <c r="H422"/>
      <c r="I422"/>
      <c r="J422" s="14"/>
    </row>
    <row r="423" spans="1:10" ht="12.75">
      <c r="A423"/>
      <c r="B423"/>
      <c r="C423"/>
      <c r="G423"/>
      <c r="H423"/>
      <c r="I423"/>
      <c r="J423" s="14"/>
    </row>
    <row r="424" spans="1:10" ht="12.75">
      <c r="A424"/>
      <c r="B424"/>
      <c r="C424"/>
      <c r="G424"/>
      <c r="H424"/>
      <c r="I424"/>
      <c r="J424" s="14"/>
    </row>
    <row r="425" spans="1:10" ht="12.75">
      <c r="A425"/>
      <c r="B425"/>
      <c r="C425"/>
      <c r="G425"/>
      <c r="H425"/>
      <c r="I425"/>
      <c r="J425" s="14"/>
    </row>
    <row r="426" spans="1:10" ht="12.75">
      <c r="A426"/>
      <c r="B426"/>
      <c r="C426"/>
      <c r="G426"/>
      <c r="H426"/>
      <c r="I426"/>
      <c r="J426" s="14"/>
    </row>
    <row r="427" spans="1:10" ht="12.75">
      <c r="A427"/>
      <c r="B427"/>
      <c r="C427"/>
      <c r="G427"/>
      <c r="H427"/>
      <c r="I427"/>
      <c r="J427" s="14"/>
    </row>
    <row r="428" spans="1:10" ht="12.75">
      <c r="A428"/>
      <c r="B428"/>
      <c r="C428"/>
      <c r="G428"/>
      <c r="H428"/>
      <c r="I428"/>
      <c r="J428" s="14"/>
    </row>
    <row r="429" spans="1:10" ht="12.75">
      <c r="A429"/>
      <c r="B429"/>
      <c r="C429"/>
      <c r="G429"/>
      <c r="H429"/>
      <c r="I429"/>
      <c r="J429" s="14"/>
    </row>
    <row r="430" spans="1:10" ht="12.75">
      <c r="A430"/>
      <c r="B430"/>
      <c r="C430"/>
      <c r="G430"/>
      <c r="H430"/>
      <c r="I430"/>
      <c r="J430" s="14"/>
    </row>
    <row r="431" spans="1:10" ht="12.75">
      <c r="A431"/>
      <c r="B431"/>
      <c r="C431"/>
      <c r="G431"/>
      <c r="H431"/>
      <c r="I431"/>
      <c r="J431" s="14"/>
    </row>
    <row r="432" spans="1:10" ht="12.75">
      <c r="A432"/>
      <c r="B432"/>
      <c r="C432"/>
      <c r="G432"/>
      <c r="H432"/>
      <c r="I432"/>
      <c r="J432" s="14"/>
    </row>
    <row r="433" spans="1:10" ht="12.75">
      <c r="A433"/>
      <c r="B433"/>
      <c r="C433"/>
      <c r="G433"/>
      <c r="H433"/>
      <c r="I433"/>
      <c r="J433" s="14"/>
    </row>
    <row r="434" spans="1:10" ht="12.75">
      <c r="A434"/>
      <c r="B434"/>
      <c r="C434"/>
      <c r="G434"/>
      <c r="H434"/>
      <c r="I434"/>
      <c r="J434" s="14"/>
    </row>
    <row r="435" spans="1:10" ht="12.75">
      <c r="A435"/>
      <c r="B435"/>
      <c r="C435"/>
      <c r="G435"/>
      <c r="H435"/>
      <c r="I435"/>
      <c r="J435" s="14"/>
    </row>
  </sheetData>
  <mergeCells count="2">
    <mergeCell ref="B5:C5"/>
    <mergeCell ref="A1:H1"/>
  </mergeCells>
  <printOptions/>
  <pageMargins left="0.39" right="0.49" top="0.43" bottom="0.17" header="0.62" footer="0.5118110236220472"/>
  <pageSetup horizontalDpi="600" verticalDpi="600" orientation="portrait" paperSize="9" scale="75" r:id="rId1"/>
  <headerFooter alignWithMargins="0">
    <oddHeader>&amp;C&amp;A</oddHeader>
    <oddFooter>&amp;CStran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283"/>
  <sheetViews>
    <sheetView view="pageBreakPreview" zoomScaleSheetLayoutView="100" workbookViewId="0" topLeftCell="B168">
      <selection activeCell="E185" sqref="E185"/>
    </sheetView>
  </sheetViews>
  <sheetFormatPr defaultColWidth="9.140625" defaultRowHeight="12.75"/>
  <cols>
    <col min="1" max="1" width="4.28125" style="36" customWidth="1"/>
    <col min="2" max="2" width="15.00390625" style="36" customWidth="1"/>
    <col min="3" max="3" width="11.28125" style="36" customWidth="1"/>
    <col min="4" max="4" width="13.28125" style="36" customWidth="1"/>
    <col min="5" max="5" width="18.57421875" style="36" customWidth="1"/>
    <col min="6" max="7" width="18.7109375" style="36" customWidth="1"/>
    <col min="8" max="8" width="8.28125" style="36" customWidth="1"/>
    <col min="9" max="9" width="8.8515625" style="36" customWidth="1"/>
    <col min="10" max="10" width="14.28125" style="36" customWidth="1"/>
    <col min="11" max="11" width="19.00390625" style="36" customWidth="1"/>
    <col min="12" max="12" width="17.8515625" style="36" customWidth="1"/>
    <col min="13" max="13" width="17.421875" style="36" customWidth="1"/>
    <col min="14" max="14" width="5.00390625" style="36" customWidth="1"/>
    <col min="15" max="15" width="21.140625" style="36" customWidth="1"/>
    <col min="16" max="16" width="11.7109375" style="36" customWidth="1"/>
    <col min="17" max="17" width="19.57421875" style="36" customWidth="1"/>
    <col min="18" max="18" width="17.140625" style="36" customWidth="1"/>
    <col min="19" max="19" width="16.00390625" style="36" customWidth="1"/>
    <col min="20" max="20" width="10.140625" style="36" customWidth="1"/>
    <col min="21" max="21" width="5.00390625" style="36" customWidth="1"/>
    <col min="22" max="22" width="21.140625" style="36" customWidth="1"/>
    <col min="23" max="23" width="11.7109375" style="36" customWidth="1"/>
    <col min="24" max="24" width="19.57421875" style="36" customWidth="1"/>
    <col min="25" max="25" width="17.140625" style="36" customWidth="1"/>
    <col min="26" max="26" width="16.00390625" style="36" customWidth="1"/>
    <col min="27" max="27" width="10.7109375" style="36" customWidth="1"/>
    <col min="28" max="29" width="9.140625" style="36" customWidth="1"/>
    <col min="30" max="30" width="15.8515625" style="36" customWidth="1"/>
    <col min="31" max="31" width="24.28125" style="36" customWidth="1"/>
    <col min="32" max="32" width="9.140625" style="36" customWidth="1"/>
    <col min="33" max="33" width="14.57421875" style="36" bestFit="1" customWidth="1"/>
    <col min="34" max="16384" width="9.140625" style="36" customWidth="1"/>
  </cols>
  <sheetData>
    <row r="1" spans="1:33" ht="15.75">
      <c r="A1" s="34" t="s">
        <v>190</v>
      </c>
      <c r="B1" s="35"/>
      <c r="C1" s="35"/>
      <c r="D1" s="35"/>
      <c r="G1" s="37"/>
      <c r="H1" s="34" t="s">
        <v>191</v>
      </c>
      <c r="I1" s="35"/>
      <c r="J1" s="35"/>
      <c r="M1" s="37"/>
      <c r="N1" s="38" t="s">
        <v>192</v>
      </c>
      <c r="O1" s="39"/>
      <c r="P1" s="39"/>
      <c r="Q1" s="40"/>
      <c r="R1" s="40"/>
      <c r="S1" s="41"/>
      <c r="T1" s="40"/>
      <c r="U1" s="38" t="s">
        <v>191</v>
      </c>
      <c r="V1" s="39"/>
      <c r="W1" s="39"/>
      <c r="X1" s="40"/>
      <c r="Y1" s="40"/>
      <c r="Z1" s="41"/>
      <c r="AA1" s="39"/>
      <c r="AB1" s="38" t="s">
        <v>191</v>
      </c>
      <c r="AC1" s="39"/>
      <c r="AD1" s="39"/>
      <c r="AE1" s="40"/>
      <c r="AF1" s="40"/>
      <c r="AG1" s="41"/>
    </row>
    <row r="2" spans="1:33" ht="12.75">
      <c r="A2" s="42" t="s">
        <v>193</v>
      </c>
      <c r="B2" s="42"/>
      <c r="C2" s="42"/>
      <c r="F2" s="43"/>
      <c r="G2" s="43"/>
      <c r="H2" s="42"/>
      <c r="I2" s="42"/>
      <c r="L2" s="43"/>
      <c r="M2" s="43"/>
      <c r="N2" s="44"/>
      <c r="O2" s="44"/>
      <c r="P2" s="40"/>
      <c r="Q2" s="40"/>
      <c r="R2" s="45"/>
      <c r="S2" s="45"/>
      <c r="T2" s="40"/>
      <c r="U2" s="44"/>
      <c r="V2" s="44"/>
      <c r="W2" s="40"/>
      <c r="X2" s="40"/>
      <c r="Y2" s="45"/>
      <c r="Z2" s="45"/>
      <c r="AA2" s="44"/>
      <c r="AB2" s="44"/>
      <c r="AC2" s="44"/>
      <c r="AD2" s="40"/>
      <c r="AE2" s="40"/>
      <c r="AF2" s="45"/>
      <c r="AG2" s="45"/>
    </row>
    <row r="3" spans="1:33" ht="12.75">
      <c r="A3" s="42" t="s">
        <v>194</v>
      </c>
      <c r="B3" s="42"/>
      <c r="C3" s="42"/>
      <c r="F3" s="43"/>
      <c r="G3" s="46"/>
      <c r="H3" s="47" t="s">
        <v>195</v>
      </c>
      <c r="I3" s="42"/>
      <c r="L3" s="43"/>
      <c r="M3" s="46"/>
      <c r="N3" s="48" t="s">
        <v>195</v>
      </c>
      <c r="O3" s="44"/>
      <c r="P3" s="40"/>
      <c r="Q3" s="40"/>
      <c r="R3" s="45"/>
      <c r="S3" s="49"/>
      <c r="T3" s="40"/>
      <c r="U3" s="48" t="s">
        <v>195</v>
      </c>
      <c r="V3" s="44"/>
      <c r="W3" s="40"/>
      <c r="X3" s="40"/>
      <c r="Y3" s="45"/>
      <c r="Z3" s="49"/>
      <c r="AA3" s="44"/>
      <c r="AB3" s="48" t="s">
        <v>195</v>
      </c>
      <c r="AC3" s="44"/>
      <c r="AD3" s="40"/>
      <c r="AE3" s="40"/>
      <c r="AF3" s="45"/>
      <c r="AG3" s="49"/>
    </row>
    <row r="4" spans="1:33" ht="12.75">
      <c r="A4" s="42" t="s">
        <v>196</v>
      </c>
      <c r="B4" s="42"/>
      <c r="C4" s="42"/>
      <c r="F4" s="50"/>
      <c r="G4" s="51"/>
      <c r="H4" s="42"/>
      <c r="I4" s="42"/>
      <c r="L4" s="50"/>
      <c r="M4" s="51"/>
      <c r="N4" s="44"/>
      <c r="O4" s="44"/>
      <c r="P4" s="40"/>
      <c r="Q4" s="40"/>
      <c r="R4" s="52"/>
      <c r="S4" s="53"/>
      <c r="T4" s="40"/>
      <c r="U4" s="44"/>
      <c r="V4" s="44"/>
      <c r="W4" s="40"/>
      <c r="X4" s="40"/>
      <c r="Y4" s="52"/>
      <c r="Z4" s="53"/>
      <c r="AA4" s="44"/>
      <c r="AB4" s="44"/>
      <c r="AC4" s="44"/>
      <c r="AD4" s="40"/>
      <c r="AE4" s="40"/>
      <c r="AF4" s="52"/>
      <c r="AG4" s="53"/>
    </row>
    <row r="5" spans="1:33" ht="12.75">
      <c r="A5" s="54" t="s">
        <v>197</v>
      </c>
      <c r="B5" s="42"/>
      <c r="C5" s="42"/>
      <c r="F5" s="50"/>
      <c r="G5" s="50"/>
      <c r="H5" s="54"/>
      <c r="I5" s="42"/>
      <c r="L5" s="50"/>
      <c r="M5" s="50"/>
      <c r="N5" s="55"/>
      <c r="O5" s="44"/>
      <c r="P5" s="40"/>
      <c r="Q5" s="40"/>
      <c r="R5" s="52"/>
      <c r="S5" s="52"/>
      <c r="T5" s="40"/>
      <c r="U5" s="55"/>
      <c r="V5" s="44"/>
      <c r="W5" s="40"/>
      <c r="X5" s="40"/>
      <c r="Y5" s="52"/>
      <c r="Z5" s="52"/>
      <c r="AA5" s="44"/>
      <c r="AB5" s="55"/>
      <c r="AC5" s="44"/>
      <c r="AD5" s="40"/>
      <c r="AE5" s="40"/>
      <c r="AF5" s="52"/>
      <c r="AG5" s="52"/>
    </row>
    <row r="6" spans="1:33" ht="12.75">
      <c r="A6" s="42" t="s">
        <v>198</v>
      </c>
      <c r="B6" s="42"/>
      <c r="C6" s="42"/>
      <c r="D6" s="56"/>
      <c r="H6" s="42"/>
      <c r="I6" s="42"/>
      <c r="J6" s="56"/>
      <c r="N6" s="44"/>
      <c r="O6" s="44"/>
      <c r="P6" s="57"/>
      <c r="Q6" s="40"/>
      <c r="R6" s="40"/>
      <c r="S6" s="40"/>
      <c r="T6" s="40"/>
      <c r="U6" s="44"/>
      <c r="V6" s="44"/>
      <c r="W6" s="57"/>
      <c r="X6" s="40"/>
      <c r="Y6" s="40"/>
      <c r="Z6" s="40"/>
      <c r="AA6" s="44"/>
      <c r="AB6" s="44"/>
      <c r="AC6" s="44"/>
      <c r="AD6" s="57"/>
      <c r="AE6" s="40"/>
      <c r="AF6" s="40"/>
      <c r="AG6" s="40"/>
    </row>
    <row r="7" spans="1:33" ht="14.25">
      <c r="A7" s="42"/>
      <c r="D7" s="42"/>
      <c r="E7" s="58"/>
      <c r="F7" s="56"/>
      <c r="H7" s="42"/>
      <c r="J7" s="42"/>
      <c r="K7" s="58"/>
      <c r="L7" s="56"/>
      <c r="N7" s="44"/>
      <c r="O7" s="40"/>
      <c r="P7" s="44"/>
      <c r="Q7" s="59"/>
      <c r="R7" s="57"/>
      <c r="S7" s="40"/>
      <c r="T7" s="40"/>
      <c r="U7" s="44"/>
      <c r="V7" s="40"/>
      <c r="W7" s="44"/>
      <c r="X7" s="59"/>
      <c r="Y7" s="57"/>
      <c r="Z7" s="40"/>
      <c r="AA7" s="40"/>
      <c r="AB7" s="44"/>
      <c r="AC7" s="40"/>
      <c r="AD7" s="44"/>
      <c r="AE7" s="59"/>
      <c r="AF7" s="57"/>
      <c r="AG7" s="40"/>
    </row>
    <row r="8" spans="1:33" ht="14.25">
      <c r="A8" s="42"/>
      <c r="B8" s="42" t="s">
        <v>199</v>
      </c>
      <c r="C8" s="42"/>
      <c r="D8" s="42"/>
      <c r="E8" s="58" t="s">
        <v>200</v>
      </c>
      <c r="F8" s="56"/>
      <c r="H8" s="42"/>
      <c r="I8" s="42" t="s">
        <v>199</v>
      </c>
      <c r="J8" s="42"/>
      <c r="K8" s="58" t="s">
        <v>200</v>
      </c>
      <c r="L8" s="56"/>
      <c r="N8" s="44"/>
      <c r="O8" s="44" t="s">
        <v>199</v>
      </c>
      <c r="P8" s="44"/>
      <c r="Q8" s="59" t="s">
        <v>200</v>
      </c>
      <c r="R8" s="57"/>
      <c r="S8" s="40"/>
      <c r="T8" s="40"/>
      <c r="U8" s="44"/>
      <c r="V8" s="44" t="s">
        <v>199</v>
      </c>
      <c r="W8" s="44"/>
      <c r="X8" s="59" t="s">
        <v>200</v>
      </c>
      <c r="Y8" s="57"/>
      <c r="Z8" s="40"/>
      <c r="AA8" s="44"/>
      <c r="AB8" s="44"/>
      <c r="AC8" s="44" t="s">
        <v>199</v>
      </c>
      <c r="AD8" s="44"/>
      <c r="AE8" s="59" t="s">
        <v>200</v>
      </c>
      <c r="AF8" s="57"/>
      <c r="AG8" s="40"/>
    </row>
    <row r="9" spans="1:33" ht="14.25">
      <c r="A9" s="42"/>
      <c r="B9" s="42" t="s">
        <v>201</v>
      </c>
      <c r="C9" s="42"/>
      <c r="D9" s="42"/>
      <c r="E9" s="58" t="s">
        <v>202</v>
      </c>
      <c r="F9" s="56"/>
      <c r="H9" s="42"/>
      <c r="I9" s="42" t="s">
        <v>201</v>
      </c>
      <c r="J9" s="42"/>
      <c r="K9" s="58" t="s">
        <v>202</v>
      </c>
      <c r="L9" s="56"/>
      <c r="N9" s="44"/>
      <c r="O9" s="44" t="s">
        <v>201</v>
      </c>
      <c r="P9" s="44"/>
      <c r="Q9" s="59" t="s">
        <v>202</v>
      </c>
      <c r="R9" s="57"/>
      <c r="S9" s="40"/>
      <c r="T9" s="40"/>
      <c r="U9" s="44"/>
      <c r="V9" s="44" t="s">
        <v>201</v>
      </c>
      <c r="W9" s="44"/>
      <c r="X9" s="59" t="s">
        <v>202</v>
      </c>
      <c r="Y9" s="57"/>
      <c r="Z9" s="40"/>
      <c r="AA9" s="44"/>
      <c r="AB9" s="44"/>
      <c r="AC9" s="44" t="s">
        <v>201</v>
      </c>
      <c r="AD9" s="44"/>
      <c r="AE9" s="59" t="s">
        <v>202</v>
      </c>
      <c r="AF9" s="57"/>
      <c r="AG9" s="40"/>
    </row>
    <row r="10" spans="1:33" ht="14.25">
      <c r="A10" s="42"/>
      <c r="D10" s="42"/>
      <c r="E10" s="58"/>
      <c r="F10" s="56"/>
      <c r="G10" s="42"/>
      <c r="H10" s="42"/>
      <c r="J10" s="42"/>
      <c r="K10" s="58"/>
      <c r="L10" s="56"/>
      <c r="M10" s="42"/>
      <c r="N10" s="44"/>
      <c r="O10" s="40"/>
      <c r="P10" s="44"/>
      <c r="Q10" s="59"/>
      <c r="R10" s="57"/>
      <c r="S10" s="44"/>
      <c r="T10" s="40"/>
      <c r="U10" s="44"/>
      <c r="V10" s="40"/>
      <c r="W10" s="44"/>
      <c r="X10" s="59"/>
      <c r="Y10" s="57"/>
      <c r="Z10" s="44"/>
      <c r="AA10" s="40"/>
      <c r="AB10" s="44"/>
      <c r="AC10" s="40"/>
      <c r="AD10" s="44"/>
      <c r="AE10" s="59"/>
      <c r="AF10" s="57"/>
      <c r="AG10" s="44"/>
    </row>
    <row r="11" spans="1:33" ht="14.25">
      <c r="A11" s="42"/>
      <c r="D11" s="42"/>
      <c r="E11" s="58"/>
      <c r="F11" s="56"/>
      <c r="H11" s="42"/>
      <c r="J11" s="42"/>
      <c r="K11" s="58"/>
      <c r="L11" s="56"/>
      <c r="N11" s="44"/>
      <c r="O11" s="40"/>
      <c r="P11" s="44"/>
      <c r="Q11" s="59"/>
      <c r="R11" s="57"/>
      <c r="S11" s="40"/>
      <c r="T11" s="40"/>
      <c r="U11" s="44"/>
      <c r="V11" s="40"/>
      <c r="W11" s="44"/>
      <c r="X11" s="59"/>
      <c r="Y11" s="57"/>
      <c r="Z11" s="40"/>
      <c r="AA11" s="40"/>
      <c r="AB11" s="44"/>
      <c r="AC11" s="40"/>
      <c r="AD11" s="44"/>
      <c r="AE11" s="59"/>
      <c r="AF11" s="57"/>
      <c r="AG11" s="40"/>
    </row>
    <row r="12" spans="5:33" ht="12.75">
      <c r="E12" s="42"/>
      <c r="K12" s="42"/>
      <c r="N12" s="40"/>
      <c r="O12" s="40"/>
      <c r="P12" s="40"/>
      <c r="Q12" s="44"/>
      <c r="R12" s="40"/>
      <c r="S12" s="40"/>
      <c r="T12" s="40"/>
      <c r="U12" s="40"/>
      <c r="V12" s="40"/>
      <c r="W12" s="40"/>
      <c r="X12" s="44"/>
      <c r="Y12" s="40"/>
      <c r="Z12" s="40"/>
      <c r="AA12" s="40"/>
      <c r="AB12" s="40"/>
      <c r="AC12" s="40"/>
      <c r="AD12" s="40"/>
      <c r="AE12" s="44"/>
      <c r="AF12" s="40"/>
      <c r="AG12" s="40"/>
    </row>
    <row r="13" spans="1:33" ht="12.75">
      <c r="A13" s="36" t="s">
        <v>203</v>
      </c>
      <c r="D13" s="36" t="s">
        <v>204</v>
      </c>
      <c r="E13" s="60">
        <v>807841.81</v>
      </c>
      <c r="G13" s="61"/>
      <c r="H13" s="36" t="s">
        <v>203</v>
      </c>
      <c r="J13" s="36" t="s">
        <v>205</v>
      </c>
      <c r="K13" s="62"/>
      <c r="M13" s="61"/>
      <c r="N13" s="40" t="s">
        <v>203</v>
      </c>
      <c r="O13" s="40"/>
      <c r="P13" s="40" t="s">
        <v>204</v>
      </c>
      <c r="Q13" s="63">
        <v>807841.81</v>
      </c>
      <c r="R13" s="40"/>
      <c r="S13" s="64"/>
      <c r="T13" s="40"/>
      <c r="U13" s="40" t="s">
        <v>203</v>
      </c>
      <c r="V13" s="40"/>
      <c r="W13" s="40" t="s">
        <v>205</v>
      </c>
      <c r="X13" s="65"/>
      <c r="Y13" s="40"/>
      <c r="Z13" s="64"/>
      <c r="AA13" s="40"/>
      <c r="AB13" s="40" t="s">
        <v>203</v>
      </c>
      <c r="AC13" s="40"/>
      <c r="AD13" s="40" t="s">
        <v>205</v>
      </c>
      <c r="AE13" s="65"/>
      <c r="AF13" s="40"/>
      <c r="AG13" s="64"/>
    </row>
    <row r="14" spans="5:33" ht="12.75">
      <c r="E14" s="66"/>
      <c r="J14" s="36" t="s">
        <v>206</v>
      </c>
      <c r="K14" s="66"/>
      <c r="N14" s="40"/>
      <c r="O14" s="40"/>
      <c r="P14" s="40"/>
      <c r="Q14" s="67"/>
      <c r="R14" s="40"/>
      <c r="S14" s="40"/>
      <c r="T14" s="40"/>
      <c r="U14" s="40"/>
      <c r="V14" s="40"/>
      <c r="W14" s="40" t="s">
        <v>206</v>
      </c>
      <c r="X14" s="67"/>
      <c r="Y14" s="40"/>
      <c r="Z14" s="40"/>
      <c r="AA14" s="40"/>
      <c r="AB14" s="40"/>
      <c r="AC14" s="40"/>
      <c r="AD14" s="40" t="s">
        <v>206</v>
      </c>
      <c r="AE14" s="67"/>
      <c r="AF14" s="40"/>
      <c r="AG14" s="40"/>
    </row>
    <row r="15" spans="7:33" ht="12.75">
      <c r="G15" s="61"/>
      <c r="J15" s="36" t="s">
        <v>204</v>
      </c>
      <c r="K15" s="60">
        <v>807841.81</v>
      </c>
      <c r="M15" s="61"/>
      <c r="N15" s="40"/>
      <c r="O15" s="40"/>
      <c r="P15" s="40"/>
      <c r="Q15" s="40"/>
      <c r="R15" s="40"/>
      <c r="S15" s="64"/>
      <c r="T15" s="40"/>
      <c r="U15" s="40"/>
      <c r="V15" s="40"/>
      <c r="W15" s="40" t="s">
        <v>204</v>
      </c>
      <c r="X15" s="63">
        <f>+O81</f>
        <v>726384.0060572082</v>
      </c>
      <c r="Y15" s="40"/>
      <c r="Z15" s="64"/>
      <c r="AA15" s="40"/>
      <c r="AB15" s="40"/>
      <c r="AC15" s="40"/>
      <c r="AD15" s="40" t="s">
        <v>204</v>
      </c>
      <c r="AE15" s="63">
        <f>+B91</f>
        <v>675810.8508067058</v>
      </c>
      <c r="AF15" s="40"/>
      <c r="AG15" s="64"/>
    </row>
    <row r="16" spans="14:33" ht="12.75"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4:33" ht="12.75">
      <c r="D17" s="42" t="s">
        <v>207</v>
      </c>
      <c r="E17" s="42" t="s">
        <v>208</v>
      </c>
      <c r="J17" s="42" t="s">
        <v>207</v>
      </c>
      <c r="K17" s="42" t="s">
        <v>208</v>
      </c>
      <c r="N17" s="40"/>
      <c r="O17" s="40"/>
      <c r="P17" s="44" t="s">
        <v>207</v>
      </c>
      <c r="Q17" s="44" t="s">
        <v>208</v>
      </c>
      <c r="R17" s="40"/>
      <c r="S17" s="40"/>
      <c r="T17" s="40"/>
      <c r="U17" s="40"/>
      <c r="V17" s="40"/>
      <c r="W17" s="44" t="s">
        <v>207</v>
      </c>
      <c r="X17" s="44" t="s">
        <v>208</v>
      </c>
      <c r="Y17" s="40"/>
      <c r="Z17" s="40"/>
      <c r="AA17" s="40"/>
      <c r="AB17" s="40"/>
      <c r="AC17" s="40"/>
      <c r="AD17" s="44" t="s">
        <v>207</v>
      </c>
      <c r="AE17" s="44" t="s">
        <v>208</v>
      </c>
      <c r="AF17" s="40"/>
      <c r="AG17" s="40"/>
    </row>
    <row r="18" spans="5:33" ht="12.75">
      <c r="E18" s="36" t="s">
        <v>209</v>
      </c>
      <c r="K18" s="36" t="s">
        <v>209</v>
      </c>
      <c r="N18" s="40"/>
      <c r="O18" s="40"/>
      <c r="P18" s="40"/>
      <c r="Q18" s="40" t="s">
        <v>209</v>
      </c>
      <c r="R18" s="40"/>
      <c r="S18" s="40"/>
      <c r="T18" s="40"/>
      <c r="U18" s="40"/>
      <c r="V18" s="40"/>
      <c r="W18" s="40"/>
      <c r="X18" s="40" t="s">
        <v>209</v>
      </c>
      <c r="Y18" s="40"/>
      <c r="Z18" s="40"/>
      <c r="AA18" s="40"/>
      <c r="AB18" s="40"/>
      <c r="AC18" s="40"/>
      <c r="AD18" s="40"/>
      <c r="AE18" s="40" t="s">
        <v>209</v>
      </c>
      <c r="AF18" s="40"/>
      <c r="AG18" s="40"/>
    </row>
    <row r="19" spans="2:33" ht="12.75">
      <c r="B19" s="36" t="s">
        <v>210</v>
      </c>
      <c r="D19" s="36" t="s">
        <v>209</v>
      </c>
      <c r="E19" s="37" t="s">
        <v>211</v>
      </c>
      <c r="F19" s="37"/>
      <c r="G19" s="68"/>
      <c r="I19" s="36" t="s">
        <v>210</v>
      </c>
      <c r="J19" s="36" t="s">
        <v>209</v>
      </c>
      <c r="K19" s="37" t="s">
        <v>212</v>
      </c>
      <c r="L19" s="37"/>
      <c r="M19" s="68"/>
      <c r="N19" s="40"/>
      <c r="O19" s="40" t="s">
        <v>210</v>
      </c>
      <c r="P19" s="40" t="s">
        <v>209</v>
      </c>
      <c r="Q19" s="41" t="s">
        <v>211</v>
      </c>
      <c r="R19" s="41"/>
      <c r="S19" s="69"/>
      <c r="T19" s="40"/>
      <c r="U19" s="40"/>
      <c r="V19" s="40" t="s">
        <v>210</v>
      </c>
      <c r="W19" s="40" t="s">
        <v>209</v>
      </c>
      <c r="X19" s="41" t="s">
        <v>212</v>
      </c>
      <c r="Y19" s="41"/>
      <c r="Z19" s="69"/>
      <c r="AA19" s="40"/>
      <c r="AB19" s="40"/>
      <c r="AC19" s="40" t="s">
        <v>210</v>
      </c>
      <c r="AD19" s="40" t="s">
        <v>209</v>
      </c>
      <c r="AE19" s="41" t="s">
        <v>212</v>
      </c>
      <c r="AF19" s="41"/>
      <c r="AG19" s="69"/>
    </row>
    <row r="20" spans="5:33" ht="12.75">
      <c r="E20" s="37"/>
      <c r="F20" s="37"/>
      <c r="G20" s="37"/>
      <c r="K20" s="37"/>
      <c r="L20" s="37"/>
      <c r="M20" s="37"/>
      <c r="N20" s="40"/>
      <c r="O20" s="40"/>
      <c r="P20" s="40"/>
      <c r="Q20" s="41"/>
      <c r="R20" s="41"/>
      <c r="S20" s="41"/>
      <c r="T20" s="40"/>
      <c r="U20" s="40"/>
      <c r="V20" s="40"/>
      <c r="W20" s="40"/>
      <c r="X20" s="41"/>
      <c r="Y20" s="41"/>
      <c r="Z20" s="41"/>
      <c r="AA20" s="40"/>
      <c r="AB20" s="40"/>
      <c r="AC20" s="40"/>
      <c r="AD20" s="40"/>
      <c r="AE20" s="41"/>
      <c r="AF20" s="41"/>
      <c r="AG20" s="41"/>
    </row>
    <row r="21" spans="2:33" ht="12.75">
      <c r="B21" s="36" t="s">
        <v>213</v>
      </c>
      <c r="E21" s="60">
        <f>+E13</f>
        <v>807841.81</v>
      </c>
      <c r="F21" s="70"/>
      <c r="G21" s="62"/>
      <c r="I21" s="36" t="s">
        <v>213</v>
      </c>
      <c r="K21" s="60">
        <v>807841.81</v>
      </c>
      <c r="L21" s="70"/>
      <c r="M21" s="62"/>
      <c r="N21" s="40"/>
      <c r="O21" s="40" t="s">
        <v>213</v>
      </c>
      <c r="P21" s="40"/>
      <c r="Q21" s="63">
        <f>+Q13</f>
        <v>807841.81</v>
      </c>
      <c r="R21" s="71"/>
      <c r="S21" s="65"/>
      <c r="T21" s="40"/>
      <c r="U21" s="40"/>
      <c r="V21" s="40" t="s">
        <v>213</v>
      </c>
      <c r="W21" s="40"/>
      <c r="X21" s="63">
        <f>+X15</f>
        <v>726384.0060572082</v>
      </c>
      <c r="Y21" s="71"/>
      <c r="Z21" s="65"/>
      <c r="AA21" s="40"/>
      <c r="AB21" s="40"/>
      <c r="AC21" s="40" t="s">
        <v>213</v>
      </c>
      <c r="AD21" s="40"/>
      <c r="AE21" s="63">
        <f>+AE15</f>
        <v>675810.8508067058</v>
      </c>
      <c r="AF21" s="71"/>
      <c r="AG21" s="65"/>
    </row>
    <row r="22" spans="2:33" ht="12.75">
      <c r="B22" s="36" t="s">
        <v>214</v>
      </c>
      <c r="D22" s="72">
        <v>0</v>
      </c>
      <c r="E22" s="60">
        <f>+E21*D22</f>
        <v>0</v>
      </c>
      <c r="F22" s="73"/>
      <c r="G22" s="74"/>
      <c r="I22" s="36" t="s">
        <v>214</v>
      </c>
      <c r="J22" s="72">
        <v>0</v>
      </c>
      <c r="K22" s="60">
        <f>+K21*J22</f>
        <v>0</v>
      </c>
      <c r="L22" s="73"/>
      <c r="M22" s="74"/>
      <c r="N22" s="40"/>
      <c r="O22" s="40" t="s">
        <v>214</v>
      </c>
      <c r="P22" s="75">
        <v>0</v>
      </c>
      <c r="Q22" s="63">
        <f>+Q21*P22</f>
        <v>0</v>
      </c>
      <c r="R22" s="76"/>
      <c r="S22" s="77"/>
      <c r="T22" s="40"/>
      <c r="U22" s="40"/>
      <c r="V22" s="40" t="s">
        <v>214</v>
      </c>
      <c r="W22" s="75">
        <v>0</v>
      </c>
      <c r="X22" s="63">
        <f>+X21*W22</f>
        <v>0</v>
      </c>
      <c r="Y22" s="76"/>
      <c r="Z22" s="77"/>
      <c r="AA22" s="40"/>
      <c r="AB22" s="40"/>
      <c r="AC22" s="40" t="s">
        <v>214</v>
      </c>
      <c r="AD22" s="75">
        <v>0</v>
      </c>
      <c r="AE22" s="63">
        <f>+AE21*AD22</f>
        <v>0</v>
      </c>
      <c r="AF22" s="76"/>
      <c r="AG22" s="77"/>
    </row>
    <row r="23" spans="2:33" ht="12.75">
      <c r="B23" s="36" t="s">
        <v>215</v>
      </c>
      <c r="E23" s="60">
        <f>+E21-E22</f>
        <v>807841.81</v>
      </c>
      <c r="F23" s="70"/>
      <c r="G23" s="62"/>
      <c r="I23" s="36" t="s">
        <v>215</v>
      </c>
      <c r="K23" s="60">
        <f>+K21-K22</f>
        <v>807841.81</v>
      </c>
      <c r="L23" s="70"/>
      <c r="M23" s="62"/>
      <c r="N23" s="40"/>
      <c r="O23" s="40" t="s">
        <v>215</v>
      </c>
      <c r="P23" s="40"/>
      <c r="Q23" s="63">
        <f>+Q21-Q22</f>
        <v>807841.81</v>
      </c>
      <c r="R23" s="71"/>
      <c r="S23" s="65"/>
      <c r="T23" s="40"/>
      <c r="U23" s="40"/>
      <c r="V23" s="40" t="s">
        <v>215</v>
      </c>
      <c r="W23" s="40"/>
      <c r="X23" s="63">
        <f>+X21-X22</f>
        <v>726384.0060572082</v>
      </c>
      <c r="Y23" s="71"/>
      <c r="Z23" s="65"/>
      <c r="AA23" s="40"/>
      <c r="AB23" s="40"/>
      <c r="AC23" s="40" t="s">
        <v>215</v>
      </c>
      <c r="AD23" s="40"/>
      <c r="AE23" s="63">
        <f>+AE21-AE22</f>
        <v>675810.8508067058</v>
      </c>
      <c r="AF23" s="71"/>
      <c r="AG23" s="65"/>
    </row>
    <row r="24" spans="14:33" ht="12.75"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2:33" ht="12.75">
      <c r="B25" s="36" t="s">
        <v>216</v>
      </c>
      <c r="D25" s="78">
        <v>0.085</v>
      </c>
      <c r="G25" s="79"/>
      <c r="I25" s="36" t="s">
        <v>216</v>
      </c>
      <c r="J25" s="78">
        <v>0.085</v>
      </c>
      <c r="M25" s="79"/>
      <c r="N25" s="40"/>
      <c r="O25" s="40" t="s">
        <v>216</v>
      </c>
      <c r="P25" s="80">
        <v>0.085</v>
      </c>
      <c r="Q25" s="40"/>
      <c r="R25" s="40"/>
      <c r="S25" s="81"/>
      <c r="T25" s="40"/>
      <c r="U25" s="40"/>
      <c r="V25" s="40" t="s">
        <v>216</v>
      </c>
      <c r="W25" s="80">
        <v>0.085</v>
      </c>
      <c r="X25" s="40"/>
      <c r="Y25" s="40"/>
      <c r="Z25" s="81"/>
      <c r="AA25" s="40"/>
      <c r="AB25" s="40"/>
      <c r="AC25" s="40" t="s">
        <v>216</v>
      </c>
      <c r="AD25" s="80">
        <v>0.07</v>
      </c>
      <c r="AE25" s="40"/>
      <c r="AF25" s="40"/>
      <c r="AG25" s="81"/>
    </row>
    <row r="26" spans="2:33" ht="12.75">
      <c r="B26" s="36" t="s">
        <v>217</v>
      </c>
      <c r="D26" s="82">
        <f>RATE(D28,-E30,E23)</f>
        <v>0.007550876588124059</v>
      </c>
      <c r="E26" s="83"/>
      <c r="F26" s="84">
        <f>+D26*12</f>
        <v>0.09061051905748871</v>
      </c>
      <c r="G26" s="82"/>
      <c r="I26" s="36" t="s">
        <v>217</v>
      </c>
      <c r="J26" s="85">
        <f>+RATE(J28,-K30,K15)</f>
        <v>0.007083333333333172</v>
      </c>
      <c r="K26" s="86"/>
      <c r="M26" s="82"/>
      <c r="N26" s="40"/>
      <c r="O26" s="40" t="s">
        <v>217</v>
      </c>
      <c r="P26" s="87">
        <f>+RATE(P28,-Q30,Q13)</f>
        <v>0.007083333333333172</v>
      </c>
      <c r="Q26" s="88"/>
      <c r="R26" s="40"/>
      <c r="S26" s="89"/>
      <c r="T26" s="40"/>
      <c r="U26" s="40"/>
      <c r="V26" s="40" t="s">
        <v>217</v>
      </c>
      <c r="W26" s="87">
        <f>+RATE(W28,-X30,X15)</f>
        <v>0.0070833333333331265</v>
      </c>
      <c r="X26" s="88"/>
      <c r="Y26" s="40"/>
      <c r="Z26" s="89"/>
      <c r="AA26" s="40"/>
      <c r="AB26" s="40"/>
      <c r="AC26" s="40" t="s">
        <v>217</v>
      </c>
      <c r="AD26" s="87">
        <f>+RATE(AD28,-AE30,AE15)</f>
        <v>0.005833333333333859</v>
      </c>
      <c r="AE26" s="88"/>
      <c r="AF26" s="40"/>
      <c r="AG26" s="89"/>
    </row>
    <row r="27" spans="2:33" ht="12.75">
      <c r="B27" s="36" t="s">
        <v>218</v>
      </c>
      <c r="D27" s="90">
        <v>10</v>
      </c>
      <c r="I27" s="36" t="s">
        <v>218</v>
      </c>
      <c r="J27" s="90">
        <v>10</v>
      </c>
      <c r="N27" s="40"/>
      <c r="O27" s="40" t="s">
        <v>218</v>
      </c>
      <c r="P27" s="91">
        <v>10</v>
      </c>
      <c r="Q27" s="40"/>
      <c r="R27" s="40"/>
      <c r="S27" s="40"/>
      <c r="T27" s="40"/>
      <c r="U27" s="40"/>
      <c r="V27" s="40" t="s">
        <v>218</v>
      </c>
      <c r="W27" s="91"/>
      <c r="X27" s="40"/>
      <c r="Y27" s="40"/>
      <c r="Z27" s="40"/>
      <c r="AA27" s="40"/>
      <c r="AB27" s="40"/>
      <c r="AC27" s="40" t="s">
        <v>218</v>
      </c>
      <c r="AD27" s="91"/>
      <c r="AE27" s="40"/>
      <c r="AF27" s="40"/>
      <c r="AG27" s="40"/>
    </row>
    <row r="28" spans="2:33" ht="12.75">
      <c r="B28" s="36" t="s">
        <v>219</v>
      </c>
      <c r="D28" s="90">
        <f>D27*12</f>
        <v>120</v>
      </c>
      <c r="I28" s="36" t="s">
        <v>219</v>
      </c>
      <c r="J28" s="90">
        <v>120</v>
      </c>
      <c r="N28" s="40"/>
      <c r="O28" s="40" t="s">
        <v>219</v>
      </c>
      <c r="P28" s="91">
        <f>P27*12</f>
        <v>120</v>
      </c>
      <c r="Q28" s="40"/>
      <c r="R28" s="40"/>
      <c r="S28" s="40"/>
      <c r="T28" s="40"/>
      <c r="U28" s="40"/>
      <c r="V28" s="40" t="s">
        <v>219</v>
      </c>
      <c r="W28" s="91">
        <v>103</v>
      </c>
      <c r="X28" s="40"/>
      <c r="Y28" s="40"/>
      <c r="Z28" s="40"/>
      <c r="AA28" s="40"/>
      <c r="AB28" s="40"/>
      <c r="AC28" s="40" t="s">
        <v>219</v>
      </c>
      <c r="AD28" s="91">
        <v>93</v>
      </c>
      <c r="AE28" s="40"/>
      <c r="AF28" s="40"/>
      <c r="AG28" s="40"/>
    </row>
    <row r="29" spans="2:33" ht="12.75">
      <c r="B29" s="36" t="s">
        <v>220</v>
      </c>
      <c r="D29" s="92"/>
      <c r="E29" s="60">
        <f>PMT(D25,D27,E23)</f>
        <v>-123121.31635313538</v>
      </c>
      <c r="F29" s="93"/>
      <c r="G29" s="94"/>
      <c r="I29" s="36" t="s">
        <v>220</v>
      </c>
      <c r="J29" s="92"/>
      <c r="K29" s="60">
        <f>PMT(J25,J27,K23)</f>
        <v>-123121.31635313538</v>
      </c>
      <c r="L29" s="93"/>
      <c r="M29" s="94"/>
      <c r="N29" s="40"/>
      <c r="O29" s="40" t="s">
        <v>220</v>
      </c>
      <c r="P29" s="95"/>
      <c r="Q29" s="63">
        <f>PMT(P25,P27,Q23)</f>
        <v>-123121.31635313538</v>
      </c>
      <c r="R29" s="96"/>
      <c r="S29" s="97"/>
      <c r="T29" s="40"/>
      <c r="U29" s="40"/>
      <c r="V29" s="40" t="s">
        <v>220</v>
      </c>
      <c r="W29" s="95"/>
      <c r="X29" s="63">
        <f>+X30*12</f>
        <v>119506.04402221821</v>
      </c>
      <c r="Y29" s="96"/>
      <c r="Z29" s="97"/>
      <c r="AA29" s="40"/>
      <c r="AB29" s="40"/>
      <c r="AC29" s="40" t="s">
        <v>220</v>
      </c>
      <c r="AD29" s="95"/>
      <c r="AE29" s="63">
        <f>+AE30*12</f>
        <v>113230.98963708302</v>
      </c>
      <c r="AF29" s="96"/>
      <c r="AG29" s="97"/>
    </row>
    <row r="30" spans="2:33" ht="15.75">
      <c r="B30" s="36" t="s">
        <v>221</v>
      </c>
      <c r="E30" s="60">
        <f>+E29/12*-1</f>
        <v>10260.109696094614</v>
      </c>
      <c r="F30" s="98"/>
      <c r="G30" s="99"/>
      <c r="I30" s="36" t="s">
        <v>221</v>
      </c>
      <c r="K30" s="100">
        <f>+PMT(J25/12,J28,K15)*-1</f>
        <v>10016.082331448175</v>
      </c>
      <c r="L30" s="98"/>
      <c r="M30" s="99"/>
      <c r="N30" s="40"/>
      <c r="O30" s="40" t="s">
        <v>221</v>
      </c>
      <c r="P30" s="40"/>
      <c r="Q30" s="101">
        <f>+PMT(P25/12,P28,Q13)*-1</f>
        <v>10016.082331448175</v>
      </c>
      <c r="R30" s="102" t="s">
        <v>222</v>
      </c>
      <c r="S30" s="103"/>
      <c r="T30" s="40"/>
      <c r="U30" s="40"/>
      <c r="V30" s="40" t="s">
        <v>221</v>
      </c>
      <c r="W30" s="40"/>
      <c r="X30" s="101">
        <f>+PMT(W25/12,W28,X15)*-1</f>
        <v>9958.837001851518</v>
      </c>
      <c r="Y30" s="102"/>
      <c r="Z30" s="103"/>
      <c r="AA30" s="40"/>
      <c r="AB30" s="40"/>
      <c r="AC30" s="40" t="s">
        <v>221</v>
      </c>
      <c r="AD30" s="40"/>
      <c r="AE30" s="101">
        <f>+PMT(AD25/12,AD28,AE15)*-1</f>
        <v>9435.915803090253</v>
      </c>
      <c r="AF30" s="102"/>
      <c r="AG30" s="103"/>
    </row>
    <row r="31" spans="2:33" ht="12.75">
      <c r="B31" s="104"/>
      <c r="C31" s="104"/>
      <c r="E31" s="60"/>
      <c r="F31" s="93"/>
      <c r="G31" s="105"/>
      <c r="I31" s="104"/>
      <c r="K31" s="60"/>
      <c r="L31" s="93"/>
      <c r="M31" s="105"/>
      <c r="N31" s="40"/>
      <c r="O31" s="106"/>
      <c r="P31" s="40"/>
      <c r="Q31" s="63"/>
      <c r="R31" s="96"/>
      <c r="S31" s="107"/>
      <c r="T31" s="40"/>
      <c r="U31" s="40"/>
      <c r="V31" s="106"/>
      <c r="W31" s="40"/>
      <c r="X31" s="63"/>
      <c r="Y31" s="96"/>
      <c r="Z31" s="107"/>
      <c r="AA31" s="106"/>
      <c r="AB31" s="40"/>
      <c r="AC31" s="106"/>
      <c r="AD31" s="40"/>
      <c r="AE31" s="63"/>
      <c r="AF31" s="96"/>
      <c r="AG31" s="107"/>
    </row>
    <row r="32" spans="2:33" ht="12.75">
      <c r="B32" s="36" t="s">
        <v>223</v>
      </c>
      <c r="E32" s="60">
        <f>+E30*D28</f>
        <v>1231213.1635313537</v>
      </c>
      <c r="F32" s="66"/>
      <c r="G32" s="62"/>
      <c r="I32" s="36" t="s">
        <v>223</v>
      </c>
      <c r="K32" s="60">
        <f>+K30*J28</f>
        <v>1201929.879773781</v>
      </c>
      <c r="L32" s="66"/>
      <c r="M32" s="62"/>
      <c r="N32" s="40"/>
      <c r="O32" s="40" t="s">
        <v>223</v>
      </c>
      <c r="P32" s="40"/>
      <c r="Q32" s="63">
        <f>+Q30*P28</f>
        <v>1201929.879773781</v>
      </c>
      <c r="R32" s="67"/>
      <c r="S32" s="65"/>
      <c r="T32" s="40"/>
      <c r="U32" s="40"/>
      <c r="V32" s="40" t="s">
        <v>223</v>
      </c>
      <c r="W32" s="40"/>
      <c r="X32" s="63">
        <f>+X30*W28</f>
        <v>1025760.2111907064</v>
      </c>
      <c r="Y32" s="67"/>
      <c r="Z32" s="65"/>
      <c r="AA32" s="40"/>
      <c r="AB32" s="40"/>
      <c r="AC32" s="40" t="s">
        <v>223</v>
      </c>
      <c r="AD32" s="40"/>
      <c r="AE32" s="63">
        <f>+AE30*AD28</f>
        <v>877540.1696873935</v>
      </c>
      <c r="AF32" s="67"/>
      <c r="AG32" s="65"/>
    </row>
    <row r="33" spans="2:33" ht="12.75">
      <c r="B33" s="36" t="s">
        <v>224</v>
      </c>
      <c r="D33" s="78">
        <v>0.01</v>
      </c>
      <c r="E33" s="60">
        <f>+E21*D33</f>
        <v>8078.418100000001</v>
      </c>
      <c r="F33" s="98"/>
      <c r="G33" s="99"/>
      <c r="I33" s="36" t="s">
        <v>224</v>
      </c>
      <c r="J33" s="78">
        <v>0.01</v>
      </c>
      <c r="K33" s="60">
        <f>+K21*J33</f>
        <v>8078.418100000001</v>
      </c>
      <c r="L33" s="98"/>
      <c r="M33" s="99"/>
      <c r="N33" s="40"/>
      <c r="O33" s="40" t="s">
        <v>224</v>
      </c>
      <c r="P33" s="80">
        <v>0.01</v>
      </c>
      <c r="Q33" s="63">
        <f>+Q21*P33</f>
        <v>8078.418100000001</v>
      </c>
      <c r="R33" s="102"/>
      <c r="S33" s="103"/>
      <c r="T33" s="40"/>
      <c r="U33" s="40"/>
      <c r="V33" s="40" t="s">
        <v>224</v>
      </c>
      <c r="W33" s="80">
        <v>0.01</v>
      </c>
      <c r="X33" s="63">
        <f>+X21*W33</f>
        <v>7263.840060572082</v>
      </c>
      <c r="Y33" s="102"/>
      <c r="Z33" s="103"/>
      <c r="AA33" s="40"/>
      <c r="AB33" s="40"/>
      <c r="AC33" s="40" t="s">
        <v>224</v>
      </c>
      <c r="AD33" s="80">
        <v>0.01</v>
      </c>
      <c r="AE33" s="63">
        <f>+AE21*AD33</f>
        <v>6758.108508067058</v>
      </c>
      <c r="AF33" s="102"/>
      <c r="AG33" s="103"/>
    </row>
    <row r="34" spans="2:33" ht="12.75">
      <c r="B34" s="36" t="s">
        <v>225</v>
      </c>
      <c r="E34" s="60">
        <f>+E30*1</f>
        <v>10260.109696094614</v>
      </c>
      <c r="F34" s="66"/>
      <c r="G34" s="62"/>
      <c r="I34" s="36" t="s">
        <v>225</v>
      </c>
      <c r="K34" s="60">
        <f>+K30*1</f>
        <v>10016.082331448175</v>
      </c>
      <c r="L34" s="66"/>
      <c r="M34" s="62"/>
      <c r="N34" s="40"/>
      <c r="O34" s="40" t="s">
        <v>225</v>
      </c>
      <c r="P34" s="40"/>
      <c r="Q34" s="63">
        <f>+Q30*1</f>
        <v>10016.082331448175</v>
      </c>
      <c r="R34" s="67"/>
      <c r="S34" s="65"/>
      <c r="T34" s="40"/>
      <c r="U34" s="40"/>
      <c r="V34" s="40" t="s">
        <v>225</v>
      </c>
      <c r="W34" s="40"/>
      <c r="X34" s="63">
        <f>+X30*1</f>
        <v>9958.837001851518</v>
      </c>
      <c r="Y34" s="67"/>
      <c r="Z34" s="65"/>
      <c r="AA34" s="40"/>
      <c r="AB34" s="40"/>
      <c r="AC34" s="40" t="s">
        <v>225</v>
      </c>
      <c r="AD34" s="40"/>
      <c r="AE34" s="63">
        <f>+AE30*1</f>
        <v>9435.915803090253</v>
      </c>
      <c r="AF34" s="67"/>
      <c r="AG34" s="65"/>
    </row>
    <row r="35" spans="2:33" ht="12.75">
      <c r="B35" s="104" t="s">
        <v>226</v>
      </c>
      <c r="C35" s="104"/>
      <c r="E35" s="60">
        <f>(E33*19)/100</f>
        <v>1534.899439</v>
      </c>
      <c r="F35" s="66"/>
      <c r="G35" s="62"/>
      <c r="I35" s="104" t="s">
        <v>226</v>
      </c>
      <c r="K35" s="60"/>
      <c r="L35" s="66"/>
      <c r="M35" s="62"/>
      <c r="N35" s="40"/>
      <c r="O35" s="106" t="s">
        <v>226</v>
      </c>
      <c r="P35" s="40"/>
      <c r="Q35" s="63"/>
      <c r="R35" s="67"/>
      <c r="S35" s="65"/>
      <c r="T35" s="40"/>
      <c r="U35" s="40"/>
      <c r="V35" s="106" t="s">
        <v>226</v>
      </c>
      <c r="W35" s="40"/>
      <c r="X35" s="63"/>
      <c r="Y35" s="67"/>
      <c r="Z35" s="65"/>
      <c r="AA35" s="106"/>
      <c r="AB35" s="40"/>
      <c r="AC35" s="106" t="s">
        <v>226</v>
      </c>
      <c r="AD35" s="40"/>
      <c r="AE35" s="63"/>
      <c r="AF35" s="67"/>
      <c r="AG35" s="65"/>
    </row>
    <row r="36" spans="2:33" ht="12.75">
      <c r="B36" s="36" t="s">
        <v>213</v>
      </c>
      <c r="E36" s="60">
        <f>+E22+E32+E33+E34</f>
        <v>1249551.6913274482</v>
      </c>
      <c r="F36" s="66"/>
      <c r="G36" s="62"/>
      <c r="I36" s="36" t="s">
        <v>213</v>
      </c>
      <c r="K36" s="60">
        <f>+K22+K32+K33+K34</f>
        <v>1220024.380205229</v>
      </c>
      <c r="L36" s="66"/>
      <c r="M36" s="62"/>
      <c r="N36" s="40"/>
      <c r="O36" s="40" t="s">
        <v>213</v>
      </c>
      <c r="P36" s="40"/>
      <c r="Q36" s="63">
        <f>+Q22+Q32+Q33+Q34</f>
        <v>1220024.380205229</v>
      </c>
      <c r="R36" s="67"/>
      <c r="S36" s="65"/>
      <c r="T36" s="40"/>
      <c r="U36" s="40"/>
      <c r="V36" s="40" t="s">
        <v>213</v>
      </c>
      <c r="W36" s="40"/>
      <c r="X36" s="63">
        <f>+X22+X32+X33+X34</f>
        <v>1042982.88825313</v>
      </c>
      <c r="Y36" s="67"/>
      <c r="Z36" s="65"/>
      <c r="AA36" s="40"/>
      <c r="AB36" s="40"/>
      <c r="AC36" s="40" t="s">
        <v>213</v>
      </c>
      <c r="AD36" s="40"/>
      <c r="AE36" s="63">
        <f>+AE22+AE32+AE33+AE34</f>
        <v>893734.1939985508</v>
      </c>
      <c r="AF36" s="67"/>
      <c r="AG36" s="65"/>
    </row>
    <row r="37" spans="5:33" ht="12.75">
      <c r="E37" s="60"/>
      <c r="F37" s="93"/>
      <c r="G37" s="105"/>
      <c r="K37" s="60"/>
      <c r="L37" s="93"/>
      <c r="M37" s="105"/>
      <c r="N37" s="40"/>
      <c r="O37" s="40"/>
      <c r="P37" s="40"/>
      <c r="Q37" s="63"/>
      <c r="R37" s="96"/>
      <c r="S37" s="107"/>
      <c r="T37" s="40"/>
      <c r="U37" s="40"/>
      <c r="V37" s="40"/>
      <c r="W37" s="40"/>
      <c r="X37" s="63"/>
      <c r="Y37" s="96"/>
      <c r="Z37" s="107"/>
      <c r="AA37" s="40"/>
      <c r="AB37" s="40"/>
      <c r="AC37" s="40"/>
      <c r="AD37" s="40"/>
      <c r="AE37" s="63"/>
      <c r="AF37" s="96"/>
      <c r="AG37" s="107"/>
    </row>
    <row r="38" spans="2:33" ht="12.75">
      <c r="B38" s="36" t="s">
        <v>227</v>
      </c>
      <c r="D38" s="78">
        <v>0</v>
      </c>
      <c r="E38" s="60">
        <f>+(E32+E34)*D38</f>
        <v>0</v>
      </c>
      <c r="F38" s="98"/>
      <c r="G38" s="99"/>
      <c r="I38" s="36" t="s">
        <v>227</v>
      </c>
      <c r="J38" s="78">
        <v>0</v>
      </c>
      <c r="K38" s="60">
        <f>+(K32+K34)*J38</f>
        <v>0</v>
      </c>
      <c r="L38" s="98"/>
      <c r="M38" s="99"/>
      <c r="N38" s="40"/>
      <c r="O38" s="40" t="s">
        <v>227</v>
      </c>
      <c r="P38" s="80">
        <v>0</v>
      </c>
      <c r="Q38" s="63">
        <f>+(Q32+Q34)*P38</f>
        <v>0</v>
      </c>
      <c r="R38" s="102"/>
      <c r="S38" s="103"/>
      <c r="T38" s="40"/>
      <c r="U38" s="40"/>
      <c r="V38" s="40" t="s">
        <v>227</v>
      </c>
      <c r="W38" s="80">
        <v>0</v>
      </c>
      <c r="X38" s="63">
        <f>+(X32+X34)*W38</f>
        <v>0</v>
      </c>
      <c r="Y38" s="102"/>
      <c r="Z38" s="103"/>
      <c r="AA38" s="40"/>
      <c r="AB38" s="40"/>
      <c r="AC38" s="40" t="s">
        <v>227</v>
      </c>
      <c r="AD38" s="80">
        <v>0</v>
      </c>
      <c r="AE38" s="63">
        <f>+(AE32+AE34)*AD38</f>
        <v>0</v>
      </c>
      <c r="AF38" s="102"/>
      <c r="AG38" s="103"/>
    </row>
    <row r="39" spans="5:33" ht="12.75">
      <c r="E39" s="108"/>
      <c r="F39" s="66"/>
      <c r="G39" s="105"/>
      <c r="K39" s="60"/>
      <c r="L39" s="66"/>
      <c r="M39" s="105"/>
      <c r="N39" s="40"/>
      <c r="O39" s="40"/>
      <c r="P39" s="40"/>
      <c r="Q39" s="63"/>
      <c r="R39" s="67"/>
      <c r="S39" s="107"/>
      <c r="T39" s="40"/>
      <c r="U39" s="40"/>
      <c r="V39" s="40"/>
      <c r="W39" s="40"/>
      <c r="X39" s="63"/>
      <c r="Y39" s="67"/>
      <c r="Z39" s="107"/>
      <c r="AA39" s="40"/>
      <c r="AB39" s="40"/>
      <c r="AC39" s="40"/>
      <c r="AD39" s="40"/>
      <c r="AE39" s="63"/>
      <c r="AF39" s="67"/>
      <c r="AG39" s="107"/>
    </row>
    <row r="40" spans="2:33" ht="12.75">
      <c r="B40" s="36" t="s">
        <v>228</v>
      </c>
      <c r="E40" s="60">
        <f>+E22+E33+E38+E35+E39</f>
        <v>9613.317539000001</v>
      </c>
      <c r="F40" s="98"/>
      <c r="G40" s="99"/>
      <c r="I40" s="36" t="s">
        <v>228</v>
      </c>
      <c r="K40" s="60">
        <f>+K22+K33+K38+K35+K39</f>
        <v>8078.418100000001</v>
      </c>
      <c r="L40" s="98"/>
      <c r="M40" s="99"/>
      <c r="N40" s="40"/>
      <c r="O40" s="40" t="s">
        <v>228</v>
      </c>
      <c r="P40" s="40"/>
      <c r="Q40" s="63">
        <f>+Q22+Q33+Q38+Q35+Q39</f>
        <v>8078.418100000001</v>
      </c>
      <c r="R40" s="102"/>
      <c r="S40" s="103"/>
      <c r="T40" s="40"/>
      <c r="U40" s="40"/>
      <c r="V40" s="40" t="s">
        <v>228</v>
      </c>
      <c r="W40" s="40"/>
      <c r="X40" s="63">
        <f>+X22+X33+X38+X35+X39</f>
        <v>7263.840060572082</v>
      </c>
      <c r="Y40" s="102"/>
      <c r="Z40" s="103"/>
      <c r="AA40" s="40"/>
      <c r="AB40" s="40"/>
      <c r="AC40" s="40" t="s">
        <v>228</v>
      </c>
      <c r="AD40" s="40"/>
      <c r="AE40" s="63">
        <f>+AE22+AE33+AE38+AE35+AE39</f>
        <v>6758.108508067058</v>
      </c>
      <c r="AF40" s="102"/>
      <c r="AG40" s="103"/>
    </row>
    <row r="41" spans="5:33" ht="12.75">
      <c r="E41" s="60"/>
      <c r="F41" s="66"/>
      <c r="G41" s="105"/>
      <c r="K41" s="60"/>
      <c r="L41" s="66"/>
      <c r="M41" s="105"/>
      <c r="N41" s="40"/>
      <c r="O41" s="40"/>
      <c r="P41" s="40"/>
      <c r="Q41" s="63"/>
      <c r="R41" s="67"/>
      <c r="S41" s="107"/>
      <c r="T41" s="40"/>
      <c r="U41" s="40"/>
      <c r="V41" s="40"/>
      <c r="W41" s="40"/>
      <c r="X41" s="63"/>
      <c r="Y41" s="67"/>
      <c r="Z41" s="107"/>
      <c r="AA41" s="40"/>
      <c r="AB41" s="40"/>
      <c r="AC41" s="40"/>
      <c r="AD41" s="40"/>
      <c r="AE41" s="63"/>
      <c r="AF41" s="67"/>
      <c r="AG41" s="107"/>
    </row>
    <row r="42" spans="2:33" ht="12.75">
      <c r="B42" s="36" t="s">
        <v>229</v>
      </c>
      <c r="D42" s="36" t="s">
        <v>209</v>
      </c>
      <c r="E42" s="60">
        <f>+E32-E23</f>
        <v>423371.35353135364</v>
      </c>
      <c r="F42" s="66"/>
      <c r="G42" s="62"/>
      <c r="I42" s="36" t="s">
        <v>229</v>
      </c>
      <c r="J42" s="36" t="s">
        <v>209</v>
      </c>
      <c r="K42" s="60">
        <f>+K32-K23</f>
        <v>394088.0697737809</v>
      </c>
      <c r="L42" s="66"/>
      <c r="M42" s="62"/>
      <c r="N42" s="40"/>
      <c r="O42" s="40" t="s">
        <v>229</v>
      </c>
      <c r="P42" s="40" t="s">
        <v>209</v>
      </c>
      <c r="Q42" s="63">
        <f>+Q32-Q23</f>
        <v>394088.0697737809</v>
      </c>
      <c r="R42" s="67"/>
      <c r="S42" s="65"/>
      <c r="T42" s="40"/>
      <c r="U42" s="40"/>
      <c r="V42" s="40" t="s">
        <v>229</v>
      </c>
      <c r="W42" s="40" t="s">
        <v>209</v>
      </c>
      <c r="X42" s="63">
        <f>+X32-X23</f>
        <v>299376.2051334982</v>
      </c>
      <c r="Y42" s="67"/>
      <c r="Z42" s="65"/>
      <c r="AA42" s="40"/>
      <c r="AB42" s="40"/>
      <c r="AC42" s="40" t="s">
        <v>229</v>
      </c>
      <c r="AD42" s="40" t="s">
        <v>209</v>
      </c>
      <c r="AE42" s="63">
        <f>+AE32-AE23</f>
        <v>201729.3188806877</v>
      </c>
      <c r="AF42" s="67"/>
      <c r="AG42" s="65"/>
    </row>
    <row r="43" spans="2:33" ht="12.75">
      <c r="B43" s="36" t="s">
        <v>230</v>
      </c>
      <c r="E43" s="50">
        <f>+E36/E21*100</f>
        <v>154.67776931815996</v>
      </c>
      <c r="F43" s="50"/>
      <c r="G43" s="50"/>
      <c r="I43" s="36" t="s">
        <v>230</v>
      </c>
      <c r="K43" s="50">
        <f>+K36/K21*100</f>
        <v>151.02268353815816</v>
      </c>
      <c r="L43" s="50"/>
      <c r="M43" s="50"/>
      <c r="N43" s="40"/>
      <c r="O43" s="40" t="s">
        <v>230</v>
      </c>
      <c r="P43" s="40"/>
      <c r="Q43" s="52">
        <f>+Q36/Q21*100</f>
        <v>151.02268353815816</v>
      </c>
      <c r="R43" s="52"/>
      <c r="S43" s="52"/>
      <c r="T43" s="40"/>
      <c r="U43" s="40"/>
      <c r="V43" s="40" t="s">
        <v>230</v>
      </c>
      <c r="W43" s="40"/>
      <c r="X43" s="52">
        <f>+X36/X21*100</f>
        <v>143.58560755135724</v>
      </c>
      <c r="Y43" s="52"/>
      <c r="Z43" s="52"/>
      <c r="AA43" s="40"/>
      <c r="AB43" s="40"/>
      <c r="AC43" s="40" t="s">
        <v>230</v>
      </c>
      <c r="AD43" s="40"/>
      <c r="AE43" s="52">
        <f>+AE36/AE21*100</f>
        <v>132.24620364288512</v>
      </c>
      <c r="AF43" s="52"/>
      <c r="AG43" s="52"/>
    </row>
    <row r="44" spans="4:33" ht="12.75">
      <c r="D44" s="36" t="s">
        <v>209</v>
      </c>
      <c r="J44" s="36" t="s">
        <v>209</v>
      </c>
      <c r="N44" s="40"/>
      <c r="O44" s="40"/>
      <c r="P44" s="40" t="s">
        <v>209</v>
      </c>
      <c r="Q44" s="40"/>
      <c r="R44" s="40"/>
      <c r="S44" s="40"/>
      <c r="T44" s="40"/>
      <c r="U44" s="40"/>
      <c r="V44" s="40"/>
      <c r="W44" s="40" t="s">
        <v>209</v>
      </c>
      <c r="X44" s="40"/>
      <c r="Y44" s="40"/>
      <c r="Z44" s="40"/>
      <c r="AA44" s="40"/>
      <c r="AB44" s="40"/>
      <c r="AC44" s="40"/>
      <c r="AD44" s="40" t="s">
        <v>209</v>
      </c>
      <c r="AE44" s="40"/>
      <c r="AF44" s="40"/>
      <c r="AG44" s="40"/>
    </row>
    <row r="45" spans="14:27" ht="12.75"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2:27" ht="12.75">
      <c r="B46" s="42"/>
      <c r="C46" s="42"/>
      <c r="I46" s="42"/>
      <c r="N46" s="40"/>
      <c r="O46" s="44"/>
      <c r="P46" s="40"/>
      <c r="Q46" s="40"/>
      <c r="R46" s="40"/>
      <c r="S46" s="40"/>
      <c r="T46" s="40"/>
      <c r="U46" s="40"/>
      <c r="V46" s="44"/>
      <c r="W46" s="40"/>
      <c r="X46" s="40"/>
      <c r="Y46" s="40"/>
      <c r="Z46" s="40"/>
      <c r="AA46" s="44"/>
    </row>
    <row r="47" spans="14:27" ht="12.75"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4:27" ht="12.75">
      <c r="D48" s="109"/>
      <c r="J48" s="109"/>
      <c r="N48" s="40"/>
      <c r="O48" s="40"/>
      <c r="P48" s="110"/>
      <c r="Q48" s="40"/>
      <c r="R48" s="40"/>
      <c r="S48" s="40"/>
      <c r="T48" s="40"/>
      <c r="U48" s="40"/>
      <c r="V48" s="40"/>
      <c r="W48" s="110"/>
      <c r="X48" s="40"/>
      <c r="Y48" s="40"/>
      <c r="Z48" s="40"/>
      <c r="AA48" s="40"/>
    </row>
    <row r="49" spans="4:27" ht="12.75">
      <c r="D49" s="111"/>
      <c r="J49" s="111"/>
      <c r="N49" s="40"/>
      <c r="O49" s="40"/>
      <c r="P49" s="112"/>
      <c r="Q49" s="40"/>
      <c r="R49" s="40"/>
      <c r="S49" s="40"/>
      <c r="T49" s="40"/>
      <c r="U49" s="40"/>
      <c r="V49" s="40"/>
      <c r="W49" s="112"/>
      <c r="X49" s="40"/>
      <c r="Y49" s="40"/>
      <c r="Z49" s="40"/>
      <c r="AA49" s="40"/>
    </row>
    <row r="50" spans="14:27" ht="12.75"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4:27" ht="12.75"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ht="12.75">
      <c r="K52" s="113"/>
      <c r="L52" s="114"/>
      <c r="N52" s="40"/>
      <c r="O52" s="40"/>
      <c r="P52" s="40"/>
      <c r="Q52" s="115"/>
      <c r="R52" s="116"/>
      <c r="S52" s="40"/>
      <c r="T52" s="40"/>
      <c r="U52" s="40"/>
      <c r="V52" s="40"/>
      <c r="W52" s="40"/>
      <c r="X52" s="115"/>
      <c r="Y52" s="116"/>
      <c r="Z52" s="40"/>
      <c r="AA52" s="40"/>
    </row>
    <row r="53" spans="11:27" ht="12.75">
      <c r="K53" s="86"/>
      <c r="L53" s="117"/>
      <c r="N53" s="40"/>
      <c r="O53" s="40"/>
      <c r="P53" s="40"/>
      <c r="Q53" s="88"/>
      <c r="R53" s="118"/>
      <c r="S53" s="40"/>
      <c r="T53" s="40"/>
      <c r="U53" s="40"/>
      <c r="V53" s="40"/>
      <c r="W53" s="40"/>
      <c r="X53" s="88"/>
      <c r="Y53" s="118"/>
      <c r="Z53" s="40"/>
      <c r="AA53" s="40"/>
    </row>
    <row r="54" spans="14:27" ht="12.75"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4:27" ht="12.75"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8:27" ht="15.75">
      <c r="H56" s="119"/>
      <c r="N56" s="120" t="s">
        <v>231</v>
      </c>
      <c r="O56" s="40"/>
      <c r="P56" s="40"/>
      <c r="Q56" s="40"/>
      <c r="R56" s="40"/>
      <c r="S56" s="40"/>
      <c r="T56" s="40"/>
      <c r="U56" s="120" t="s">
        <v>231</v>
      </c>
      <c r="V56" s="40"/>
      <c r="W56" s="40"/>
      <c r="X56" s="40"/>
      <c r="Y56" s="40"/>
      <c r="Z56" s="40"/>
      <c r="AA56" s="40"/>
    </row>
    <row r="57" spans="8:32" ht="14.25">
      <c r="H57" s="42"/>
      <c r="N57" s="44" t="s">
        <v>233</v>
      </c>
      <c r="O57" s="40"/>
      <c r="P57" s="40"/>
      <c r="Q57" s="40"/>
      <c r="R57" s="40"/>
      <c r="S57" s="40"/>
      <c r="T57" s="40"/>
      <c r="U57" s="44" t="s">
        <v>233</v>
      </c>
      <c r="V57" s="40"/>
      <c r="W57" s="40"/>
      <c r="X57" s="40"/>
      <c r="Y57" s="40"/>
      <c r="Z57" s="40"/>
      <c r="AA57" s="40"/>
      <c r="AB57" s="44"/>
      <c r="AC57" s="44" t="s">
        <v>199</v>
      </c>
      <c r="AD57" s="44"/>
      <c r="AE57" s="59" t="s">
        <v>200</v>
      </c>
      <c r="AF57" s="57"/>
    </row>
    <row r="58" spans="1:32" ht="15.75">
      <c r="A58" s="119" t="s">
        <v>231</v>
      </c>
      <c r="H58" s="42"/>
      <c r="J58" s="121">
        <f>+J26</f>
        <v>0.007083333333333172</v>
      </c>
      <c r="N58" s="44" t="s">
        <v>197</v>
      </c>
      <c r="O58" s="40"/>
      <c r="P58" s="40"/>
      <c r="Q58" s="40"/>
      <c r="R58" s="40"/>
      <c r="S58" s="40"/>
      <c r="T58" s="40"/>
      <c r="U58" s="44" t="s">
        <v>197</v>
      </c>
      <c r="V58" s="40"/>
      <c r="W58" s="40"/>
      <c r="X58" s="40"/>
      <c r="Y58" s="40"/>
      <c r="Z58" s="40"/>
      <c r="AA58" s="40"/>
      <c r="AB58" s="44"/>
      <c r="AC58" s="40"/>
      <c r="AD58" s="44"/>
      <c r="AE58" s="59"/>
      <c r="AF58" s="57"/>
    </row>
    <row r="59" spans="1:32" ht="14.25">
      <c r="A59" s="42" t="s">
        <v>232</v>
      </c>
      <c r="F59" s="56" t="s">
        <v>234</v>
      </c>
      <c r="H59" s="42"/>
      <c r="L59" s="56"/>
      <c r="N59" s="44" t="s">
        <v>235</v>
      </c>
      <c r="O59" s="40"/>
      <c r="P59" s="40"/>
      <c r="Q59" s="40"/>
      <c r="R59" s="57" t="s">
        <v>234</v>
      </c>
      <c r="S59" s="40"/>
      <c r="T59" s="40"/>
      <c r="U59" s="44" t="s">
        <v>235</v>
      </c>
      <c r="V59" s="40"/>
      <c r="W59" s="40"/>
      <c r="X59" s="40"/>
      <c r="Y59" s="57" t="s">
        <v>234</v>
      </c>
      <c r="Z59" s="40"/>
      <c r="AA59" s="40"/>
      <c r="AB59" s="44"/>
      <c r="AC59" s="40"/>
      <c r="AD59" s="44"/>
      <c r="AE59" s="59"/>
      <c r="AF59" s="57"/>
    </row>
    <row r="60" spans="1:32" ht="12.75">
      <c r="A60" s="42" t="s">
        <v>194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4"/>
      <c r="AF60" s="40"/>
    </row>
    <row r="61" spans="4:32" ht="15.75">
      <c r="D61" s="119" t="s">
        <v>236</v>
      </c>
      <c r="J61" s="119"/>
      <c r="N61" s="40"/>
      <c r="O61" s="40"/>
      <c r="P61" s="120" t="s">
        <v>236</v>
      </c>
      <c r="Q61" s="40"/>
      <c r="R61" s="40"/>
      <c r="S61" s="40"/>
      <c r="T61" s="40"/>
      <c r="U61" s="40"/>
      <c r="V61" s="40"/>
      <c r="W61" s="120" t="s">
        <v>236</v>
      </c>
      <c r="X61" s="40"/>
      <c r="Y61" s="40"/>
      <c r="Z61" s="40"/>
      <c r="AA61" s="40"/>
      <c r="AB61" s="40" t="s">
        <v>203</v>
      </c>
      <c r="AC61" s="40"/>
      <c r="AD61" s="40" t="s">
        <v>205</v>
      </c>
      <c r="AE61" s="65"/>
      <c r="AF61" s="40"/>
    </row>
    <row r="62" spans="4:32" ht="15.75">
      <c r="D62" s="119"/>
      <c r="J62" s="119"/>
      <c r="N62" s="40"/>
      <c r="O62" s="40"/>
      <c r="P62" s="120"/>
      <c r="Q62" s="40"/>
      <c r="R62" s="40"/>
      <c r="S62" s="40"/>
      <c r="T62" s="40"/>
      <c r="U62" s="40"/>
      <c r="V62" s="40"/>
      <c r="W62" s="120"/>
      <c r="X62" s="40"/>
      <c r="Y62" s="40"/>
      <c r="Z62" s="40"/>
      <c r="AA62" s="40"/>
      <c r="AB62" s="40"/>
      <c r="AC62" s="40"/>
      <c r="AD62" s="40" t="s">
        <v>206</v>
      </c>
      <c r="AE62" s="67"/>
      <c r="AF62" s="40"/>
    </row>
    <row r="63" spans="2:32" ht="25.5">
      <c r="B63" s="37" t="s">
        <v>237</v>
      </c>
      <c r="C63" s="122" t="s">
        <v>238</v>
      </c>
      <c r="D63" s="122" t="s">
        <v>239</v>
      </c>
      <c r="E63" s="37" t="s">
        <v>240</v>
      </c>
      <c r="F63" s="37" t="s">
        <v>229</v>
      </c>
      <c r="G63" s="37" t="s">
        <v>241</v>
      </c>
      <c r="I63" s="37"/>
      <c r="J63" s="37"/>
      <c r="K63" s="37"/>
      <c r="L63" s="37"/>
      <c r="M63" s="37"/>
      <c r="N63" s="40"/>
      <c r="O63" s="41" t="s">
        <v>237</v>
      </c>
      <c r="P63" s="41" t="s">
        <v>242</v>
      </c>
      <c r="Q63" s="41" t="s">
        <v>240</v>
      </c>
      <c r="R63" s="41" t="s">
        <v>229</v>
      </c>
      <c r="S63" s="41" t="s">
        <v>241</v>
      </c>
      <c r="T63" s="44"/>
      <c r="U63" s="40"/>
      <c r="V63" s="41" t="s">
        <v>237</v>
      </c>
      <c r="W63" s="41" t="s">
        <v>242</v>
      </c>
      <c r="X63" s="41" t="s">
        <v>240</v>
      </c>
      <c r="Y63" s="41" t="s">
        <v>229</v>
      </c>
      <c r="Z63" s="41" t="s">
        <v>241</v>
      </c>
      <c r="AA63" s="41"/>
      <c r="AB63" s="40"/>
      <c r="AC63" s="40"/>
      <c r="AD63" s="40" t="s">
        <v>204</v>
      </c>
      <c r="AE63" s="63">
        <f>+B116</f>
        <v>525930.3030318074</v>
      </c>
      <c r="AF63" s="40"/>
    </row>
    <row r="64" spans="1:32" ht="12.75">
      <c r="A64" s="90">
        <v>1</v>
      </c>
      <c r="B64" s="123">
        <v>807841.81</v>
      </c>
      <c r="C64" s="124">
        <f aca="true" t="shared" si="0" ref="C64:C95">+D64*12</f>
        <v>0.08499999996</v>
      </c>
      <c r="D64" s="125">
        <v>0.00708333333</v>
      </c>
      <c r="E64" s="126">
        <f>PMT(D25,D27,E23/12*-1)</f>
        <v>10260.109696094612</v>
      </c>
      <c r="F64" s="126">
        <f aca="true" t="shared" si="1" ref="F64:F95">+B64*D64</f>
        <v>5722.212818140528</v>
      </c>
      <c r="G64" s="126">
        <f aca="true" t="shared" si="2" ref="G64:G95">+E64-F64</f>
        <v>4537.896877954085</v>
      </c>
      <c r="H64" s="127">
        <v>36861</v>
      </c>
      <c r="J64" s="82"/>
      <c r="K64" s="108"/>
      <c r="L64" s="128"/>
      <c r="M64" s="108"/>
      <c r="N64" s="91">
        <v>1</v>
      </c>
      <c r="O64" s="129">
        <f>+Q23*1</f>
        <v>807841.81</v>
      </c>
      <c r="P64" s="89">
        <f>RATE(P28,-Q30,Q23)</f>
        <v>0.007083333333333172</v>
      </c>
      <c r="Q64" s="63">
        <v>10260.11</v>
      </c>
      <c r="R64" s="63">
        <f aca="true" t="shared" si="3" ref="R64:R95">+O64*P64</f>
        <v>5722.212820833203</v>
      </c>
      <c r="S64" s="63">
        <f aca="true" t="shared" si="4" ref="S64:S95">+Q64-R64</f>
        <v>4537.897179166797</v>
      </c>
      <c r="T64" s="130">
        <v>36861</v>
      </c>
      <c r="U64" s="91">
        <v>1</v>
      </c>
      <c r="V64" s="129">
        <f>+X23*1</f>
        <v>726384.0060572082</v>
      </c>
      <c r="W64" s="89">
        <f>RATE(W28,-X30,X23)</f>
        <v>0.0070833333333331265</v>
      </c>
      <c r="X64" s="63">
        <f>+X30</f>
        <v>9958.837001851518</v>
      </c>
      <c r="Y64" s="63">
        <f aca="true" t="shared" si="5" ref="Y64:Y95">+V64*W64</f>
        <v>5145.2200429050745</v>
      </c>
      <c r="Z64" s="63">
        <f aca="true" t="shared" si="6" ref="Z64:Z95">+X64-Y64</f>
        <v>4813.616958946443</v>
      </c>
      <c r="AA64" s="130">
        <v>36861</v>
      </c>
      <c r="AB64" s="40"/>
      <c r="AC64" s="40"/>
      <c r="AD64" s="40"/>
      <c r="AE64" s="40"/>
      <c r="AF64" s="40"/>
    </row>
    <row r="65" spans="1:32" ht="12.75">
      <c r="A65" s="90">
        <v>2</v>
      </c>
      <c r="B65" s="131">
        <f aca="true" t="shared" si="7" ref="B65:B96">+B64-G64</f>
        <v>803303.9131220459</v>
      </c>
      <c r="C65" s="124">
        <f t="shared" si="0"/>
        <v>0.08499999996</v>
      </c>
      <c r="D65" s="125">
        <v>0.00708333333</v>
      </c>
      <c r="E65" s="126">
        <f>PMT(D25,D27,E23/12*-1)</f>
        <v>10260.109696094612</v>
      </c>
      <c r="F65" s="126">
        <f t="shared" si="1"/>
        <v>5690.0693819368125</v>
      </c>
      <c r="G65" s="126">
        <f t="shared" si="2"/>
        <v>4570.0403141578</v>
      </c>
      <c r="H65" s="127">
        <v>36892</v>
      </c>
      <c r="J65" s="82"/>
      <c r="K65" s="108"/>
      <c r="L65" s="128"/>
      <c r="M65" s="108"/>
      <c r="N65" s="91">
        <v>2</v>
      </c>
      <c r="O65" s="129">
        <f aca="true" t="shared" si="8" ref="O65:O96">+O64-S64</f>
        <v>803303.9128208333</v>
      </c>
      <c r="P65" s="89">
        <f>RATE(P28,-Q30,Q23)</f>
        <v>0.007083333333333172</v>
      </c>
      <c r="Q65" s="63">
        <f aca="true" t="shared" si="9" ref="Q65:Q79">+Q64</f>
        <v>10260.11</v>
      </c>
      <c r="R65" s="63">
        <f t="shared" si="3"/>
        <v>5690.069382480772</v>
      </c>
      <c r="S65" s="63">
        <f t="shared" si="4"/>
        <v>4570.040617519228</v>
      </c>
      <c r="T65" s="130">
        <v>36892</v>
      </c>
      <c r="U65" s="91">
        <v>2</v>
      </c>
      <c r="V65" s="129">
        <f aca="true" t="shared" si="10" ref="V65:V96">+V64-Z64</f>
        <v>721570.3890982617</v>
      </c>
      <c r="W65" s="89">
        <f>RATE(W28,-X30,X23)</f>
        <v>0.0070833333333331265</v>
      </c>
      <c r="X65" s="63">
        <f aca="true" t="shared" si="11" ref="X65:X96">+X64</f>
        <v>9958.837001851518</v>
      </c>
      <c r="Y65" s="63">
        <f t="shared" si="5"/>
        <v>5111.123589445871</v>
      </c>
      <c r="Z65" s="63">
        <f t="shared" si="6"/>
        <v>4847.7134124056465</v>
      </c>
      <c r="AA65" s="130">
        <v>36892</v>
      </c>
      <c r="AB65" s="40"/>
      <c r="AC65" s="40"/>
      <c r="AD65" s="44" t="s">
        <v>207</v>
      </c>
      <c r="AE65" s="44" t="s">
        <v>208</v>
      </c>
      <c r="AF65" s="40"/>
    </row>
    <row r="66" spans="1:32" ht="12.75">
      <c r="A66" s="90">
        <v>3</v>
      </c>
      <c r="B66" s="131">
        <f t="shared" si="7"/>
        <v>798733.8728078881</v>
      </c>
      <c r="C66" s="124">
        <f t="shared" si="0"/>
        <v>0.08499999996</v>
      </c>
      <c r="D66" s="125">
        <v>0.00708333333</v>
      </c>
      <c r="E66" s="126">
        <f>PMT(D25,D27,E23/12*-1)</f>
        <v>10260.109696094612</v>
      </c>
      <c r="F66" s="126">
        <f t="shared" si="1"/>
        <v>5657.698263060094</v>
      </c>
      <c r="G66" s="126">
        <f t="shared" si="2"/>
        <v>4602.411433034518</v>
      </c>
      <c r="H66" s="127">
        <v>36923</v>
      </c>
      <c r="J66" s="82"/>
      <c r="K66" s="108"/>
      <c r="L66" s="128"/>
      <c r="M66" s="108"/>
      <c r="N66" s="91">
        <v>3</v>
      </c>
      <c r="O66" s="129">
        <f t="shared" si="8"/>
        <v>798733.8722033141</v>
      </c>
      <c r="P66" s="89">
        <f>RATE(P28,-Q30,Q23)</f>
        <v>0.007083333333333172</v>
      </c>
      <c r="Q66" s="63">
        <f t="shared" si="9"/>
        <v>10260.11</v>
      </c>
      <c r="R66" s="63">
        <f t="shared" si="3"/>
        <v>5657.698261440012</v>
      </c>
      <c r="S66" s="63">
        <f t="shared" si="4"/>
        <v>4602.411738559988</v>
      </c>
      <c r="T66" s="130">
        <v>36923</v>
      </c>
      <c r="U66" s="91">
        <v>3</v>
      </c>
      <c r="V66" s="129">
        <f t="shared" si="10"/>
        <v>716722.675685856</v>
      </c>
      <c r="W66" s="89">
        <f>RATE(W28,-X30,X23)</f>
        <v>0.0070833333333331265</v>
      </c>
      <c r="X66" s="63">
        <f t="shared" si="11"/>
        <v>9958.837001851518</v>
      </c>
      <c r="Y66" s="63">
        <f t="shared" si="5"/>
        <v>5076.785619441332</v>
      </c>
      <c r="Z66" s="63">
        <f t="shared" si="6"/>
        <v>4882.051382410186</v>
      </c>
      <c r="AA66" s="130">
        <v>36923</v>
      </c>
      <c r="AB66" s="40"/>
      <c r="AC66" s="40"/>
      <c r="AD66" s="40"/>
      <c r="AE66" s="40" t="s">
        <v>209</v>
      </c>
      <c r="AF66" s="40"/>
    </row>
    <row r="67" spans="1:32" ht="12.75">
      <c r="A67" s="90">
        <v>4</v>
      </c>
      <c r="B67" s="131">
        <f t="shared" si="7"/>
        <v>794131.4613748535</v>
      </c>
      <c r="C67" s="124">
        <f t="shared" si="0"/>
        <v>0.08499999996</v>
      </c>
      <c r="D67" s="125">
        <v>0.00708333333</v>
      </c>
      <c r="E67" s="126">
        <f>PMT(D25,D27,E23/12*-1)</f>
        <v>10260.109696094612</v>
      </c>
      <c r="F67" s="126">
        <f t="shared" si="1"/>
        <v>5625.097848758108</v>
      </c>
      <c r="G67" s="126">
        <f t="shared" si="2"/>
        <v>4635.011847336505</v>
      </c>
      <c r="H67" s="127">
        <v>36951</v>
      </c>
      <c r="J67" s="82"/>
      <c r="K67" s="108"/>
      <c r="L67" s="128"/>
      <c r="M67" s="108"/>
      <c r="N67" s="91">
        <v>4</v>
      </c>
      <c r="O67" s="129">
        <f t="shared" si="8"/>
        <v>794131.4604647541</v>
      </c>
      <c r="P67" s="89">
        <f>RATE(P28,-Q30,Q23)</f>
        <v>0.007083333333333172</v>
      </c>
      <c r="Q67" s="63">
        <f t="shared" si="9"/>
        <v>10260.11</v>
      </c>
      <c r="R67" s="63">
        <f t="shared" si="3"/>
        <v>5625.097844958546</v>
      </c>
      <c r="S67" s="63">
        <f t="shared" si="4"/>
        <v>4635.012155041454</v>
      </c>
      <c r="T67" s="130">
        <v>36951</v>
      </c>
      <c r="U67" s="91">
        <v>4</v>
      </c>
      <c r="V67" s="129">
        <f t="shared" si="10"/>
        <v>711840.6243034458</v>
      </c>
      <c r="W67" s="89">
        <f>RATE(W28,-X30,X23)</f>
        <v>0.0070833333333331265</v>
      </c>
      <c r="X67" s="63">
        <f t="shared" si="11"/>
        <v>9958.837001851518</v>
      </c>
      <c r="Y67" s="63">
        <f t="shared" si="5"/>
        <v>5042.204422149261</v>
      </c>
      <c r="Z67" s="63">
        <f t="shared" si="6"/>
        <v>4916.632579702257</v>
      </c>
      <c r="AA67" s="130">
        <v>36951</v>
      </c>
      <c r="AB67" s="40"/>
      <c r="AC67" s="40" t="s">
        <v>210</v>
      </c>
      <c r="AD67" s="40" t="s">
        <v>209</v>
      </c>
      <c r="AE67" s="41" t="s">
        <v>212</v>
      </c>
      <c r="AF67" s="41"/>
    </row>
    <row r="68" spans="1:32" ht="12.75">
      <c r="A68" s="90">
        <v>5</v>
      </c>
      <c r="B68" s="131">
        <f t="shared" si="7"/>
        <v>789496.449527517</v>
      </c>
      <c r="C68" s="124">
        <f t="shared" si="0"/>
        <v>0.08499999996</v>
      </c>
      <c r="D68" s="125">
        <v>0.00708333333</v>
      </c>
      <c r="E68" s="126">
        <f>PMT(D25,D27,E23/12*-1)</f>
        <v>10260.109696094612</v>
      </c>
      <c r="F68" s="126">
        <f t="shared" si="1"/>
        <v>5592.266514854924</v>
      </c>
      <c r="G68" s="126">
        <f t="shared" si="2"/>
        <v>4667.843181239688</v>
      </c>
      <c r="H68" s="127">
        <v>36982</v>
      </c>
      <c r="J68" s="82"/>
      <c r="K68" s="108"/>
      <c r="L68" s="128"/>
      <c r="M68" s="108"/>
      <c r="N68" s="91">
        <v>5</v>
      </c>
      <c r="O68" s="129">
        <f t="shared" si="8"/>
        <v>789496.4483097127</v>
      </c>
      <c r="P68" s="89">
        <f>RATE(P28,-Q30,Q23)</f>
        <v>0.007083333333333172</v>
      </c>
      <c r="Q68" s="63">
        <f t="shared" si="9"/>
        <v>10260.11</v>
      </c>
      <c r="R68" s="63">
        <f t="shared" si="3"/>
        <v>5592.266508860337</v>
      </c>
      <c r="S68" s="63">
        <f t="shared" si="4"/>
        <v>4667.8434911396635</v>
      </c>
      <c r="T68" s="130">
        <v>36982</v>
      </c>
      <c r="U68" s="91">
        <v>5</v>
      </c>
      <c r="V68" s="129">
        <f t="shared" si="10"/>
        <v>706923.9917237435</v>
      </c>
      <c r="W68" s="89">
        <f>RATE(W28,-X30,X23)</f>
        <v>0.0070833333333331265</v>
      </c>
      <c r="X68" s="63">
        <f t="shared" si="11"/>
        <v>9958.837001851518</v>
      </c>
      <c r="Y68" s="63">
        <f t="shared" si="5"/>
        <v>5007.378274709704</v>
      </c>
      <c r="Z68" s="63">
        <f t="shared" si="6"/>
        <v>4951.458727141814</v>
      </c>
      <c r="AA68" s="130">
        <v>36982</v>
      </c>
      <c r="AB68" s="40"/>
      <c r="AC68" s="40"/>
      <c r="AD68" s="40"/>
      <c r="AE68" s="41"/>
      <c r="AF68" s="41"/>
    </row>
    <row r="69" spans="1:32" ht="12.75">
      <c r="A69" s="90">
        <v>6</v>
      </c>
      <c r="B69" s="131">
        <f t="shared" si="7"/>
        <v>784828.6063462773</v>
      </c>
      <c r="C69" s="124">
        <f t="shared" si="0"/>
        <v>0.08499999996</v>
      </c>
      <c r="D69" s="125">
        <v>0.00708333333</v>
      </c>
      <c r="E69" s="126">
        <f>PMT(D25,D27,E23/12*-1)</f>
        <v>10260.109696094612</v>
      </c>
      <c r="F69" s="126">
        <f t="shared" si="1"/>
        <v>5559.202625670036</v>
      </c>
      <c r="G69" s="126">
        <f t="shared" si="2"/>
        <v>4700.907070424577</v>
      </c>
      <c r="H69" s="127">
        <v>37012</v>
      </c>
      <c r="J69" s="82"/>
      <c r="K69" s="108"/>
      <c r="L69" s="128"/>
      <c r="M69" s="108"/>
      <c r="N69" s="91">
        <v>6</v>
      </c>
      <c r="O69" s="129">
        <f t="shared" si="8"/>
        <v>784828.604818573</v>
      </c>
      <c r="P69" s="89">
        <f>RATE(P28,-Q30,Q23)</f>
        <v>0.007083333333333172</v>
      </c>
      <c r="Q69" s="63">
        <f t="shared" si="9"/>
        <v>10260.11</v>
      </c>
      <c r="R69" s="63">
        <f t="shared" si="3"/>
        <v>5559.202617464765</v>
      </c>
      <c r="S69" s="63">
        <f t="shared" si="4"/>
        <v>4700.907382535235</v>
      </c>
      <c r="T69" s="130">
        <v>37012</v>
      </c>
      <c r="U69" s="91">
        <v>6</v>
      </c>
      <c r="V69" s="129">
        <f t="shared" si="10"/>
        <v>701972.5329966017</v>
      </c>
      <c r="W69" s="89">
        <f>RATE(W28,-X30,X23)</f>
        <v>0.0070833333333331265</v>
      </c>
      <c r="X69" s="63">
        <f t="shared" si="11"/>
        <v>9958.837001851518</v>
      </c>
      <c r="Y69" s="63">
        <f t="shared" si="5"/>
        <v>4972.305442059117</v>
      </c>
      <c r="Z69" s="63">
        <f t="shared" si="6"/>
        <v>4986.531559792401</v>
      </c>
      <c r="AA69" s="130">
        <v>37012</v>
      </c>
      <c r="AB69" s="40"/>
      <c r="AC69" s="40" t="s">
        <v>213</v>
      </c>
      <c r="AD69" s="40"/>
      <c r="AE69" s="63">
        <f>+AE63</f>
        <v>525930.3030318074</v>
      </c>
      <c r="AF69" s="71"/>
    </row>
    <row r="70" spans="1:32" ht="12.75">
      <c r="A70" s="90">
        <v>7</v>
      </c>
      <c r="B70" s="131">
        <f t="shared" si="7"/>
        <v>780127.6992758528</v>
      </c>
      <c r="C70" s="124">
        <f t="shared" si="0"/>
        <v>0.08499999996</v>
      </c>
      <c r="D70" s="125">
        <v>0.00708333333</v>
      </c>
      <c r="E70" s="126">
        <f>PMT(D25,D27,E23/12*-1)</f>
        <v>10260.109696094612</v>
      </c>
      <c r="F70" s="126">
        <f t="shared" si="1"/>
        <v>5525.904533936865</v>
      </c>
      <c r="G70" s="126">
        <f t="shared" si="2"/>
        <v>4734.2051621577475</v>
      </c>
      <c r="H70" s="127">
        <v>37043</v>
      </c>
      <c r="J70" s="82"/>
      <c r="K70" s="108"/>
      <c r="L70" s="128"/>
      <c r="M70" s="108"/>
      <c r="N70" s="91">
        <v>7</v>
      </c>
      <c r="O70" s="129">
        <f t="shared" si="8"/>
        <v>780127.6974360377</v>
      </c>
      <c r="P70" s="89">
        <f>RATE(P28,-Q30,Q23)</f>
        <v>0.007083333333333172</v>
      </c>
      <c r="Q70" s="63">
        <f t="shared" si="9"/>
        <v>10260.11</v>
      </c>
      <c r="R70" s="63">
        <f t="shared" si="3"/>
        <v>5525.904523505141</v>
      </c>
      <c r="S70" s="63">
        <f t="shared" si="4"/>
        <v>4734.20547649486</v>
      </c>
      <c r="T70" s="130">
        <v>37043</v>
      </c>
      <c r="U70" s="91">
        <v>7</v>
      </c>
      <c r="V70" s="129">
        <f t="shared" si="10"/>
        <v>696986.0014368093</v>
      </c>
      <c r="W70" s="89">
        <f>RATE(W28,-X30,X23)</f>
        <v>0.0070833333333331265</v>
      </c>
      <c r="X70" s="63">
        <f t="shared" si="11"/>
        <v>9958.837001851518</v>
      </c>
      <c r="Y70" s="63">
        <f t="shared" si="5"/>
        <v>4936.984176843922</v>
      </c>
      <c r="Z70" s="63">
        <f t="shared" si="6"/>
        <v>5021.852825007596</v>
      </c>
      <c r="AA70" s="130">
        <v>37043</v>
      </c>
      <c r="AB70" s="40"/>
      <c r="AC70" s="40" t="s">
        <v>214</v>
      </c>
      <c r="AD70" s="75">
        <v>0</v>
      </c>
      <c r="AE70" s="63">
        <f>+AE69*AD70</f>
        <v>0</v>
      </c>
      <c r="AF70" s="76"/>
    </row>
    <row r="71" spans="1:32" ht="12.75">
      <c r="A71" s="90">
        <v>8</v>
      </c>
      <c r="B71" s="131">
        <f t="shared" si="7"/>
        <v>775393.494113695</v>
      </c>
      <c r="C71" s="124">
        <f t="shared" si="0"/>
        <v>0.08499999996</v>
      </c>
      <c r="D71" s="125">
        <v>0.00708333333</v>
      </c>
      <c r="E71" s="126">
        <f>PMT(D25,D27,E23/12*-1)</f>
        <v>10260.109696094612</v>
      </c>
      <c r="F71" s="126">
        <f t="shared" si="1"/>
        <v>5492.370580720694</v>
      </c>
      <c r="G71" s="126">
        <f t="shared" si="2"/>
        <v>4767.739115373918</v>
      </c>
      <c r="H71" s="127">
        <v>37073</v>
      </c>
      <c r="J71" s="82"/>
      <c r="K71" s="108"/>
      <c r="L71" s="128"/>
      <c r="M71" s="108"/>
      <c r="N71" s="91">
        <v>8</v>
      </c>
      <c r="O71" s="129">
        <f t="shared" si="8"/>
        <v>775393.4919595429</v>
      </c>
      <c r="P71" s="89">
        <f>RATE(P28,-Q30,Q23)</f>
        <v>0.007083333333333172</v>
      </c>
      <c r="Q71" s="63">
        <f t="shared" si="9"/>
        <v>10260.11</v>
      </c>
      <c r="R71" s="63">
        <f t="shared" si="3"/>
        <v>5492.370568046636</v>
      </c>
      <c r="S71" s="63">
        <f t="shared" si="4"/>
        <v>4767.739431953364</v>
      </c>
      <c r="T71" s="130">
        <v>37073</v>
      </c>
      <c r="U71" s="91">
        <v>8</v>
      </c>
      <c r="V71" s="129">
        <f t="shared" si="10"/>
        <v>691964.1486118017</v>
      </c>
      <c r="W71" s="89">
        <f>RATE(W28,-X30,X23)</f>
        <v>0.0070833333333331265</v>
      </c>
      <c r="X71" s="63">
        <f t="shared" si="11"/>
        <v>9958.837001851518</v>
      </c>
      <c r="Y71" s="63">
        <f t="shared" si="5"/>
        <v>4901.4127193334525</v>
      </c>
      <c r="Z71" s="63">
        <f t="shared" si="6"/>
        <v>5057.424282518065</v>
      </c>
      <c r="AA71" s="130">
        <v>37073</v>
      </c>
      <c r="AB71" s="40"/>
      <c r="AC71" s="40" t="s">
        <v>215</v>
      </c>
      <c r="AD71" s="40"/>
      <c r="AE71" s="63">
        <f>+AE69-AE70</f>
        <v>525930.3030318074</v>
      </c>
      <c r="AF71" s="71"/>
    </row>
    <row r="72" spans="1:32" ht="12.75">
      <c r="A72" s="90">
        <v>9</v>
      </c>
      <c r="B72" s="131">
        <f t="shared" si="7"/>
        <v>770625.7549983211</v>
      </c>
      <c r="C72" s="124">
        <f t="shared" si="0"/>
        <v>0.08499999996</v>
      </c>
      <c r="D72" s="125">
        <v>0.00708333333</v>
      </c>
      <c r="E72" s="126">
        <f>PMT(D25,D27,E23/12*-1)</f>
        <v>10260.109696094612</v>
      </c>
      <c r="F72" s="126">
        <f t="shared" si="1"/>
        <v>5458.5990953360215</v>
      </c>
      <c r="G72" s="126">
        <f t="shared" si="2"/>
        <v>4801.510600758591</v>
      </c>
      <c r="H72" s="127">
        <v>37104</v>
      </c>
      <c r="J72" s="82"/>
      <c r="K72" s="108"/>
      <c r="L72" s="128"/>
      <c r="M72" s="108"/>
      <c r="N72" s="91">
        <v>9</v>
      </c>
      <c r="O72" s="129">
        <f t="shared" si="8"/>
        <v>770625.7525275894</v>
      </c>
      <c r="P72" s="89">
        <f>RATE(P28,-Q30,Q23)</f>
        <v>0.007083333333333172</v>
      </c>
      <c r="Q72" s="63">
        <f t="shared" si="9"/>
        <v>10260.11</v>
      </c>
      <c r="R72" s="63">
        <f t="shared" si="3"/>
        <v>5458.599080403634</v>
      </c>
      <c r="S72" s="63">
        <f t="shared" si="4"/>
        <v>4801.510919596367</v>
      </c>
      <c r="T72" s="130">
        <v>37104</v>
      </c>
      <c r="U72" s="91">
        <v>9</v>
      </c>
      <c r="V72" s="129">
        <f t="shared" si="10"/>
        <v>686906.7243292836</v>
      </c>
      <c r="W72" s="89">
        <f>RATE(W28,-X30,X23)</f>
        <v>0.0070833333333331265</v>
      </c>
      <c r="X72" s="63">
        <f t="shared" si="11"/>
        <v>9958.837001851518</v>
      </c>
      <c r="Y72" s="63">
        <f t="shared" si="5"/>
        <v>4865.589297332283</v>
      </c>
      <c r="Z72" s="63">
        <f t="shared" si="6"/>
        <v>5093.2477045192345</v>
      </c>
      <c r="AA72" s="130">
        <v>37104</v>
      </c>
      <c r="AB72" s="40"/>
      <c r="AC72" s="40"/>
      <c r="AD72" s="40"/>
      <c r="AE72" s="40"/>
      <c r="AF72" s="40"/>
    </row>
    <row r="73" spans="1:32" ht="12.75">
      <c r="A73" s="90">
        <v>10</v>
      </c>
      <c r="B73" s="131">
        <f t="shared" si="7"/>
        <v>765824.2443975625</v>
      </c>
      <c r="C73" s="124">
        <f t="shared" si="0"/>
        <v>0.08499999996</v>
      </c>
      <c r="D73" s="125">
        <v>0.00708333333</v>
      </c>
      <c r="E73" s="126">
        <f>PMT(D25,D27,E23/12*-1)</f>
        <v>10260.109696094612</v>
      </c>
      <c r="F73" s="126">
        <f t="shared" si="1"/>
        <v>5424.58839526332</v>
      </c>
      <c r="G73" s="126">
        <f t="shared" si="2"/>
        <v>4835.521300831292</v>
      </c>
      <c r="H73" s="127">
        <v>37135</v>
      </c>
      <c r="J73" s="82"/>
      <c r="K73" s="108"/>
      <c r="L73" s="128"/>
      <c r="M73" s="108"/>
      <c r="N73" s="91">
        <v>10</v>
      </c>
      <c r="O73" s="129">
        <f t="shared" si="8"/>
        <v>765824.241607993</v>
      </c>
      <c r="P73" s="89">
        <f>RATE(P28,-Q30,Q23)</f>
        <v>0.007083333333333172</v>
      </c>
      <c r="Q73" s="63">
        <f t="shared" si="9"/>
        <v>10260.11</v>
      </c>
      <c r="R73" s="63">
        <f t="shared" si="3"/>
        <v>5424.588378056494</v>
      </c>
      <c r="S73" s="63">
        <f t="shared" si="4"/>
        <v>4835.521621943507</v>
      </c>
      <c r="T73" s="130">
        <v>37135</v>
      </c>
      <c r="U73" s="91">
        <v>10</v>
      </c>
      <c r="V73" s="129">
        <f t="shared" si="10"/>
        <v>681813.4766247644</v>
      </c>
      <c r="W73" s="89">
        <f>RATE(W28,-X30,X23)</f>
        <v>0.0070833333333331265</v>
      </c>
      <c r="X73" s="63">
        <f t="shared" si="11"/>
        <v>9958.837001851518</v>
      </c>
      <c r="Y73" s="63">
        <f t="shared" si="5"/>
        <v>4829.51212609194</v>
      </c>
      <c r="Z73" s="63">
        <f t="shared" si="6"/>
        <v>5129.3248757595775</v>
      </c>
      <c r="AA73" s="130">
        <v>37135</v>
      </c>
      <c r="AB73" s="40"/>
      <c r="AC73" s="40" t="s">
        <v>216</v>
      </c>
      <c r="AD73" s="80">
        <v>0.0625</v>
      </c>
      <c r="AE73" s="40"/>
      <c r="AF73" s="40"/>
    </row>
    <row r="74" spans="1:32" ht="12.75">
      <c r="A74" s="90">
        <v>11</v>
      </c>
      <c r="B74" s="131">
        <f t="shared" si="7"/>
        <v>760988.7230967311</v>
      </c>
      <c r="C74" s="124">
        <f t="shared" si="0"/>
        <v>0.08499999996</v>
      </c>
      <c r="D74" s="125">
        <v>0.00708333333</v>
      </c>
      <c r="E74" s="126">
        <f>PMT(D25,D27,E23/12*-1)</f>
        <v>10260.109696094612</v>
      </c>
      <c r="F74" s="126">
        <f t="shared" si="1"/>
        <v>5390.336786065216</v>
      </c>
      <c r="G74" s="126">
        <f t="shared" si="2"/>
        <v>4869.772910029396</v>
      </c>
      <c r="H74" s="127">
        <v>37165</v>
      </c>
      <c r="J74" s="82"/>
      <c r="K74" s="108"/>
      <c r="L74" s="128"/>
      <c r="M74" s="108"/>
      <c r="N74" s="91">
        <v>11</v>
      </c>
      <c r="O74" s="129">
        <f t="shared" si="8"/>
        <v>760988.7199860496</v>
      </c>
      <c r="P74" s="89">
        <f>RATE(P28,-Q30,Q23)</f>
        <v>0.007083333333333172</v>
      </c>
      <c r="Q74" s="63">
        <f t="shared" si="9"/>
        <v>10260.11</v>
      </c>
      <c r="R74" s="63">
        <f t="shared" si="3"/>
        <v>5390.336766567728</v>
      </c>
      <c r="S74" s="63">
        <f t="shared" si="4"/>
        <v>4869.773233432273</v>
      </c>
      <c r="T74" s="130">
        <v>37165</v>
      </c>
      <c r="U74" s="91">
        <v>11</v>
      </c>
      <c r="V74" s="129">
        <f t="shared" si="10"/>
        <v>676684.1517490048</v>
      </c>
      <c r="W74" s="89">
        <f>RATE(W28,-X30,X23)</f>
        <v>0.0070833333333331265</v>
      </c>
      <c r="X74" s="63">
        <f t="shared" si="11"/>
        <v>9958.837001851518</v>
      </c>
      <c r="Y74" s="63">
        <f t="shared" si="5"/>
        <v>4793.179408221978</v>
      </c>
      <c r="Z74" s="63">
        <f t="shared" si="6"/>
        <v>5165.65759362954</v>
      </c>
      <c r="AA74" s="130">
        <v>37165</v>
      </c>
      <c r="AB74" s="40"/>
      <c r="AC74" s="40" t="s">
        <v>217</v>
      </c>
      <c r="AD74" s="87">
        <f>+RATE(AD76,-AE78,AE63)</f>
        <v>0.0052083333333331336</v>
      </c>
      <c r="AE74" s="88"/>
      <c r="AF74" s="40"/>
    </row>
    <row r="75" spans="1:32" ht="12.75">
      <c r="A75" s="90">
        <v>12</v>
      </c>
      <c r="B75" s="131">
        <f t="shared" si="7"/>
        <v>756118.9501867017</v>
      </c>
      <c r="C75" s="124">
        <f t="shared" si="0"/>
        <v>0.08499999996</v>
      </c>
      <c r="D75" s="125">
        <v>0.00708333333</v>
      </c>
      <c r="E75" s="126">
        <f>PMT(D25,D27,E23/12*-1)</f>
        <v>10260.109696094612</v>
      </c>
      <c r="F75" s="126">
        <f t="shared" si="1"/>
        <v>5355.8425613020745</v>
      </c>
      <c r="G75" s="126">
        <f t="shared" si="2"/>
        <v>4904.267134792538</v>
      </c>
      <c r="H75" s="127">
        <v>37196</v>
      </c>
      <c r="J75" s="82"/>
      <c r="K75" s="108"/>
      <c r="L75" s="128"/>
      <c r="M75" s="108"/>
      <c r="N75" s="91">
        <v>12</v>
      </c>
      <c r="O75" s="129">
        <f t="shared" si="8"/>
        <v>756118.9467526173</v>
      </c>
      <c r="P75" s="89">
        <f>RATE(P28,-Q30,Q23)</f>
        <v>0.007083333333333172</v>
      </c>
      <c r="Q75" s="63">
        <f t="shared" si="9"/>
        <v>10260.11</v>
      </c>
      <c r="R75" s="63">
        <f t="shared" si="3"/>
        <v>5355.842539497583</v>
      </c>
      <c r="S75" s="63">
        <f t="shared" si="4"/>
        <v>4904.267460502418</v>
      </c>
      <c r="T75" s="130">
        <v>37196</v>
      </c>
      <c r="U75" s="91">
        <v>12</v>
      </c>
      <c r="V75" s="129">
        <f t="shared" si="10"/>
        <v>671518.4941553753</v>
      </c>
      <c r="W75" s="89">
        <f>RATE(W28,-X30,X23)</f>
        <v>0.0070833333333331265</v>
      </c>
      <c r="X75" s="63">
        <f t="shared" si="11"/>
        <v>9958.837001851518</v>
      </c>
      <c r="Y75" s="63">
        <f t="shared" si="5"/>
        <v>4756.5893336004365</v>
      </c>
      <c r="Z75" s="63">
        <f t="shared" si="6"/>
        <v>5202.247668251081</v>
      </c>
      <c r="AA75" s="130">
        <v>37196</v>
      </c>
      <c r="AB75" s="40"/>
      <c r="AC75" s="40" t="s">
        <v>218</v>
      </c>
      <c r="AD75" s="91"/>
      <c r="AE75" s="40"/>
      <c r="AF75" s="40"/>
    </row>
    <row r="76" spans="1:32" ht="12.75">
      <c r="A76" s="90">
        <v>13</v>
      </c>
      <c r="B76" s="131">
        <f t="shared" si="7"/>
        <v>751214.6830519092</v>
      </c>
      <c r="C76" s="124">
        <f t="shared" si="0"/>
        <v>0.08499999996</v>
      </c>
      <c r="D76" s="125">
        <v>0.00708333333</v>
      </c>
      <c r="E76" s="126">
        <f>PMT(D25,D27,E23/12*-1)</f>
        <v>10260.109696094612</v>
      </c>
      <c r="F76" s="126">
        <f t="shared" si="1"/>
        <v>5321.104002446975</v>
      </c>
      <c r="G76" s="126">
        <f t="shared" si="2"/>
        <v>4939.005693647638</v>
      </c>
      <c r="H76" s="127">
        <v>37226</v>
      </c>
      <c r="J76" s="82"/>
      <c r="K76" s="108"/>
      <c r="L76" s="128"/>
      <c r="M76" s="108"/>
      <c r="N76" s="91">
        <v>13</v>
      </c>
      <c r="O76" s="129">
        <f t="shared" si="8"/>
        <v>751214.6792921148</v>
      </c>
      <c r="P76" s="89">
        <f>RATE(P28,-Q30,Q23)</f>
        <v>0.007083333333333172</v>
      </c>
      <c r="Q76" s="63">
        <f t="shared" si="9"/>
        <v>10260.11</v>
      </c>
      <c r="R76" s="63">
        <f t="shared" si="3"/>
        <v>5321.103978319025</v>
      </c>
      <c r="S76" s="63">
        <f t="shared" si="4"/>
        <v>4939.006021680975</v>
      </c>
      <c r="T76" s="130">
        <v>37226</v>
      </c>
      <c r="U76" s="91">
        <v>13</v>
      </c>
      <c r="V76" s="129">
        <f t="shared" si="10"/>
        <v>666316.2464871242</v>
      </c>
      <c r="W76" s="89">
        <f>RATE(W28,-X30,X23)</f>
        <v>0.0070833333333331265</v>
      </c>
      <c r="X76" s="63">
        <f t="shared" si="11"/>
        <v>9958.837001851518</v>
      </c>
      <c r="Y76" s="63">
        <f t="shared" si="5"/>
        <v>4719.740079283659</v>
      </c>
      <c r="Z76" s="63">
        <f t="shared" si="6"/>
        <v>5239.096922567859</v>
      </c>
      <c r="AA76" s="130">
        <v>37226</v>
      </c>
      <c r="AB76" s="40"/>
      <c r="AC76" s="40" t="s">
        <v>219</v>
      </c>
      <c r="AD76" s="91">
        <v>68</v>
      </c>
      <c r="AE76" s="40"/>
      <c r="AF76" s="40"/>
    </row>
    <row r="77" spans="1:32" ht="12.75">
      <c r="A77" s="90">
        <v>14</v>
      </c>
      <c r="B77" s="131">
        <f t="shared" si="7"/>
        <v>746275.6773582615</v>
      </c>
      <c r="C77" s="124">
        <f t="shared" si="0"/>
        <v>0.08499999996</v>
      </c>
      <c r="D77" s="125">
        <v>0.00708333333</v>
      </c>
      <c r="E77" s="126">
        <f>PMT(D25,D27,E23/12*-1)</f>
        <v>10260.109696094612</v>
      </c>
      <c r="F77" s="126">
        <f t="shared" si="1"/>
        <v>5286.1193788001</v>
      </c>
      <c r="G77" s="126">
        <f t="shared" si="2"/>
        <v>4973.990317294512</v>
      </c>
      <c r="H77" s="127">
        <v>37257</v>
      </c>
      <c r="J77" s="82"/>
      <c r="K77" s="108"/>
      <c r="L77" s="128"/>
      <c r="M77" s="108"/>
      <c r="N77" s="91">
        <v>14</v>
      </c>
      <c r="O77" s="129">
        <f t="shared" si="8"/>
        <v>746275.6732704338</v>
      </c>
      <c r="P77" s="89">
        <f>RATE(P28,-Q30,Q23)</f>
        <v>0.007083333333333172</v>
      </c>
      <c r="Q77" s="63">
        <f t="shared" si="9"/>
        <v>10260.11</v>
      </c>
      <c r="R77" s="63">
        <f t="shared" si="3"/>
        <v>5286.119352332119</v>
      </c>
      <c r="S77" s="63">
        <f t="shared" si="4"/>
        <v>4973.990647667882</v>
      </c>
      <c r="T77" s="130">
        <v>37257</v>
      </c>
      <c r="U77" s="91">
        <v>14</v>
      </c>
      <c r="V77" s="129">
        <f t="shared" si="10"/>
        <v>661077.1495645564</v>
      </c>
      <c r="W77" s="89">
        <f>RATE(W28,-X30,X23)</f>
        <v>0.0070833333333331265</v>
      </c>
      <c r="X77" s="63">
        <f t="shared" si="11"/>
        <v>9958.837001851518</v>
      </c>
      <c r="Y77" s="63">
        <f t="shared" si="5"/>
        <v>4682.629809415472</v>
      </c>
      <c r="Z77" s="63">
        <f t="shared" si="6"/>
        <v>5276.207192436046</v>
      </c>
      <c r="AA77" s="130">
        <v>37257</v>
      </c>
      <c r="AB77" s="40"/>
      <c r="AC77" s="40" t="s">
        <v>220</v>
      </c>
      <c r="AD77" s="95"/>
      <c r="AE77" s="63">
        <f>+AE78*12</f>
        <v>110453.6549959103</v>
      </c>
      <c r="AF77" s="96"/>
    </row>
    <row r="78" spans="1:32" ht="15.75">
      <c r="A78" s="90">
        <v>15</v>
      </c>
      <c r="B78" s="131">
        <f t="shared" si="7"/>
        <v>741301.687040967</v>
      </c>
      <c r="C78" s="124">
        <f t="shared" si="0"/>
        <v>0.08499999996</v>
      </c>
      <c r="D78" s="125">
        <v>0.00708333333</v>
      </c>
      <c r="E78" s="126">
        <f>PMT(D25,D27,E23/12*-1)</f>
        <v>10260.109696094612</v>
      </c>
      <c r="F78" s="126">
        <f t="shared" si="1"/>
        <v>5250.886947402511</v>
      </c>
      <c r="G78" s="126">
        <f t="shared" si="2"/>
        <v>5009.222748692101</v>
      </c>
      <c r="H78" s="127">
        <v>37288</v>
      </c>
      <c r="J78" s="82"/>
      <c r="K78" s="108"/>
      <c r="L78" s="128"/>
      <c r="M78" s="108"/>
      <c r="N78" s="91">
        <v>15</v>
      </c>
      <c r="O78" s="129">
        <f t="shared" si="8"/>
        <v>741301.6826227659</v>
      </c>
      <c r="P78" s="89">
        <f>RATE(P28,-Q30,Q23)</f>
        <v>0.007083333333333172</v>
      </c>
      <c r="Q78" s="63">
        <f t="shared" si="9"/>
        <v>10260.11</v>
      </c>
      <c r="R78" s="63">
        <f t="shared" si="3"/>
        <v>5250.886918577805</v>
      </c>
      <c r="S78" s="63">
        <f t="shared" si="4"/>
        <v>5009.223081422196</v>
      </c>
      <c r="T78" s="130">
        <v>37288</v>
      </c>
      <c r="U78" s="91">
        <v>15</v>
      </c>
      <c r="V78" s="129">
        <f t="shared" si="10"/>
        <v>655800.9423721203</v>
      </c>
      <c r="W78" s="89">
        <f>RATE(W28,-X30,X23)</f>
        <v>0.0070833333333331265</v>
      </c>
      <c r="X78" s="63">
        <f t="shared" si="11"/>
        <v>9958.837001851518</v>
      </c>
      <c r="Y78" s="63">
        <f t="shared" si="5"/>
        <v>4645.256675135717</v>
      </c>
      <c r="Z78" s="63">
        <f t="shared" si="6"/>
        <v>5313.580326715801</v>
      </c>
      <c r="AA78" s="130">
        <v>37288</v>
      </c>
      <c r="AB78" s="40"/>
      <c r="AC78" s="40" t="s">
        <v>221</v>
      </c>
      <c r="AD78" s="40"/>
      <c r="AE78" s="101">
        <f>+PMT(AD73/12,AD76,AE63)*-1</f>
        <v>9204.471249659191</v>
      </c>
      <c r="AF78" s="102"/>
    </row>
    <row r="79" spans="1:32" ht="12.75">
      <c r="A79" s="90">
        <v>16</v>
      </c>
      <c r="B79" s="131">
        <f t="shared" si="7"/>
        <v>736292.4642922749</v>
      </c>
      <c r="C79" s="124">
        <f t="shared" si="0"/>
        <v>0.08499999996</v>
      </c>
      <c r="D79" s="125">
        <v>0.00708333333</v>
      </c>
      <c r="E79" s="126">
        <f>PMT(D25,D27,E23/12*-1)</f>
        <v>10260.109696094612</v>
      </c>
      <c r="F79" s="126">
        <f t="shared" si="1"/>
        <v>5215.404952949306</v>
      </c>
      <c r="G79" s="126">
        <f t="shared" si="2"/>
        <v>5044.704743145307</v>
      </c>
      <c r="H79" s="127">
        <v>37316</v>
      </c>
      <c r="J79" s="82"/>
      <c r="K79" s="108"/>
      <c r="L79" s="128"/>
      <c r="M79" s="108"/>
      <c r="N79" s="91">
        <v>16</v>
      </c>
      <c r="O79" s="129">
        <f t="shared" si="8"/>
        <v>736292.4595413437</v>
      </c>
      <c r="P79" s="89">
        <f>RATE(P28,-Q30,Q23)</f>
        <v>0.007083333333333172</v>
      </c>
      <c r="Q79" s="63">
        <f t="shared" si="9"/>
        <v>10260.11</v>
      </c>
      <c r="R79" s="63">
        <f t="shared" si="3"/>
        <v>5215.404921751066</v>
      </c>
      <c r="S79" s="63">
        <f t="shared" si="4"/>
        <v>5044.705078248935</v>
      </c>
      <c r="T79" s="130">
        <v>37316</v>
      </c>
      <c r="U79" s="91">
        <v>16</v>
      </c>
      <c r="V79" s="129">
        <f t="shared" si="10"/>
        <v>650487.3620454045</v>
      </c>
      <c r="W79" s="89">
        <f>RATE(W28,-X30,X23)</f>
        <v>0.0070833333333331265</v>
      </c>
      <c r="X79" s="63">
        <f t="shared" si="11"/>
        <v>9958.837001851518</v>
      </c>
      <c r="Y79" s="63">
        <f t="shared" si="5"/>
        <v>4607.618814488147</v>
      </c>
      <c r="Z79" s="63">
        <f t="shared" si="6"/>
        <v>5351.218187363371</v>
      </c>
      <c r="AA79" s="130">
        <v>37316</v>
      </c>
      <c r="AB79" s="40"/>
      <c r="AC79" s="106"/>
      <c r="AD79" s="40"/>
      <c r="AE79" s="63"/>
      <c r="AF79" s="96"/>
    </row>
    <row r="80" spans="1:32" ht="12.75">
      <c r="A80" s="132">
        <v>17</v>
      </c>
      <c r="B80" s="123">
        <f t="shared" si="7"/>
        <v>731247.7595491296</v>
      </c>
      <c r="C80" s="133">
        <f t="shared" si="0"/>
        <v>0.08499999999999806</v>
      </c>
      <c r="D80" s="134">
        <f>+J26</f>
        <v>0.007083333333333172</v>
      </c>
      <c r="E80" s="135">
        <v>10043.42</v>
      </c>
      <c r="F80" s="135">
        <f t="shared" si="1"/>
        <v>5179.67163013955</v>
      </c>
      <c r="G80" s="135">
        <f t="shared" si="2"/>
        <v>4863.74836986045</v>
      </c>
      <c r="H80" s="136">
        <v>37347</v>
      </c>
      <c r="J80" s="82"/>
      <c r="K80" s="108"/>
      <c r="L80" s="128"/>
      <c r="M80" s="108"/>
      <c r="N80" s="91">
        <v>17</v>
      </c>
      <c r="O80" s="129">
        <f t="shared" si="8"/>
        <v>731247.7544630948</v>
      </c>
      <c r="P80" s="89">
        <f>RATE(P28,-Q30,Q23)</f>
        <v>0.007083333333333172</v>
      </c>
      <c r="Q80" s="63">
        <v>10043.42</v>
      </c>
      <c r="R80" s="63">
        <f t="shared" si="3"/>
        <v>5179.67159411347</v>
      </c>
      <c r="S80" s="63">
        <f t="shared" si="4"/>
        <v>4863.74840588653</v>
      </c>
      <c r="T80" s="130">
        <v>37347</v>
      </c>
      <c r="U80" s="91">
        <v>17</v>
      </c>
      <c r="V80" s="129">
        <f t="shared" si="10"/>
        <v>645136.1438580411</v>
      </c>
      <c r="W80" s="89">
        <f>RATE(W28,-X30,X23)</f>
        <v>0.0070833333333331265</v>
      </c>
      <c r="X80" s="63">
        <f t="shared" si="11"/>
        <v>9958.837001851518</v>
      </c>
      <c r="Y80" s="63">
        <f t="shared" si="5"/>
        <v>4569.714352327658</v>
      </c>
      <c r="Z80" s="63">
        <f t="shared" si="6"/>
        <v>5389.12264952386</v>
      </c>
      <c r="AA80" s="130">
        <v>37347</v>
      </c>
      <c r="AB80" s="40"/>
      <c r="AC80" s="40" t="s">
        <v>223</v>
      </c>
      <c r="AD80" s="40"/>
      <c r="AE80" s="63">
        <f>+AE78*AD76</f>
        <v>625904.044976825</v>
      </c>
      <c r="AF80" s="67"/>
    </row>
    <row r="81" spans="1:32" ht="12.75">
      <c r="A81" s="90">
        <v>18</v>
      </c>
      <c r="B81" s="131">
        <f t="shared" si="7"/>
        <v>726384.0111792692</v>
      </c>
      <c r="C81" s="124">
        <f t="shared" si="0"/>
        <v>0.08499999999999806</v>
      </c>
      <c r="D81" s="125">
        <f aca="true" t="shared" si="12" ref="D81:D90">+D80</f>
        <v>0.007083333333333172</v>
      </c>
      <c r="E81" s="126">
        <v>10043.42</v>
      </c>
      <c r="F81" s="126">
        <f t="shared" si="1"/>
        <v>5145.2200791863725</v>
      </c>
      <c r="G81" s="126">
        <f t="shared" si="2"/>
        <v>4898.199920813628</v>
      </c>
      <c r="H81" s="127">
        <v>37377</v>
      </c>
      <c r="J81" s="82"/>
      <c r="K81" s="108"/>
      <c r="L81" s="128"/>
      <c r="M81" s="108"/>
      <c r="N81" s="91">
        <v>18</v>
      </c>
      <c r="O81" s="129">
        <f t="shared" si="8"/>
        <v>726384.0060572082</v>
      </c>
      <c r="P81" s="89">
        <f>RATE(P28,-Q30,Q23)</f>
        <v>0.007083333333333172</v>
      </c>
      <c r="Q81" s="63">
        <f>+X30</f>
        <v>9958.837001851518</v>
      </c>
      <c r="R81" s="63">
        <f t="shared" si="3"/>
        <v>5145.220042905107</v>
      </c>
      <c r="S81" s="63">
        <f t="shared" si="4"/>
        <v>4813.616958946411</v>
      </c>
      <c r="T81" s="130">
        <v>37377</v>
      </c>
      <c r="U81" s="91">
        <v>18</v>
      </c>
      <c r="V81" s="129">
        <f t="shared" si="10"/>
        <v>639747.0212085173</v>
      </c>
      <c r="W81" s="89">
        <f>RATE(W28,-X30,X23)</f>
        <v>0.0070833333333331265</v>
      </c>
      <c r="X81" s="63">
        <f t="shared" si="11"/>
        <v>9958.837001851518</v>
      </c>
      <c r="Y81" s="63">
        <f t="shared" si="5"/>
        <v>4531.541400226865</v>
      </c>
      <c r="Z81" s="63">
        <f t="shared" si="6"/>
        <v>5427.295601624653</v>
      </c>
      <c r="AA81" s="130">
        <v>37377</v>
      </c>
      <c r="AB81" s="40"/>
      <c r="AC81" s="40" t="s">
        <v>224</v>
      </c>
      <c r="AD81" s="80">
        <v>0.01</v>
      </c>
      <c r="AE81" s="63">
        <f>+AE69*AD81</f>
        <v>5259.303030318074</v>
      </c>
      <c r="AF81" s="102"/>
    </row>
    <row r="82" spans="1:32" ht="12.75">
      <c r="A82" s="90">
        <v>19</v>
      </c>
      <c r="B82" s="131">
        <f t="shared" si="7"/>
        <v>721485.8112584555</v>
      </c>
      <c r="C82" s="124">
        <f t="shared" si="0"/>
        <v>0.08499999999999806</v>
      </c>
      <c r="D82" s="125">
        <f t="shared" si="12"/>
        <v>0.007083333333333172</v>
      </c>
      <c r="E82" s="126">
        <v>10043.42</v>
      </c>
      <c r="F82" s="126">
        <f t="shared" si="1"/>
        <v>5110.524496413943</v>
      </c>
      <c r="G82" s="126">
        <f t="shared" si="2"/>
        <v>4932.895503586057</v>
      </c>
      <c r="H82" s="127">
        <v>37408</v>
      </c>
      <c r="J82" s="82"/>
      <c r="K82" s="108"/>
      <c r="L82" s="128"/>
      <c r="M82" s="108"/>
      <c r="N82" s="91">
        <v>19</v>
      </c>
      <c r="O82" s="129">
        <f t="shared" si="8"/>
        <v>721570.3890982617</v>
      </c>
      <c r="P82" s="89">
        <f>RATE(P28,-Q30,Q23)</f>
        <v>0.007083333333333172</v>
      </c>
      <c r="Q82" s="63">
        <f aca="true" t="shared" si="13" ref="Q82:Q113">+Q81</f>
        <v>9958.837001851518</v>
      </c>
      <c r="R82" s="63">
        <f t="shared" si="3"/>
        <v>5111.123589445904</v>
      </c>
      <c r="S82" s="63">
        <f t="shared" si="4"/>
        <v>4847.713412405614</v>
      </c>
      <c r="T82" s="130">
        <v>37408</v>
      </c>
      <c r="U82" s="91">
        <v>19</v>
      </c>
      <c r="V82" s="129">
        <f t="shared" si="10"/>
        <v>634319.7256068926</v>
      </c>
      <c r="W82" s="89">
        <f>RATE(W28,-X30,X23)</f>
        <v>0.0070833333333331265</v>
      </c>
      <c r="X82" s="63">
        <f t="shared" si="11"/>
        <v>9958.837001851518</v>
      </c>
      <c r="Y82" s="63">
        <f t="shared" si="5"/>
        <v>4493.098056382025</v>
      </c>
      <c r="Z82" s="63">
        <f t="shared" si="6"/>
        <v>5465.738945469493</v>
      </c>
      <c r="AA82" s="130">
        <v>37408</v>
      </c>
      <c r="AB82" s="40"/>
      <c r="AC82" s="40" t="s">
        <v>225</v>
      </c>
      <c r="AD82" s="40"/>
      <c r="AE82" s="63">
        <f>+AE78*1</f>
        <v>9204.471249659191</v>
      </c>
      <c r="AF82" s="67"/>
    </row>
    <row r="83" spans="1:32" ht="12.75">
      <c r="A83" s="90">
        <v>20</v>
      </c>
      <c r="B83" s="131">
        <f t="shared" si="7"/>
        <v>716552.9157548695</v>
      </c>
      <c r="C83" s="124">
        <f t="shared" si="0"/>
        <v>0.08499999999999806</v>
      </c>
      <c r="D83" s="125">
        <f t="shared" si="12"/>
        <v>0.007083333333333172</v>
      </c>
      <c r="E83" s="126">
        <v>10043.42</v>
      </c>
      <c r="F83" s="126">
        <f t="shared" si="1"/>
        <v>5075.583153263543</v>
      </c>
      <c r="G83" s="126">
        <f t="shared" si="2"/>
        <v>4967.836846736457</v>
      </c>
      <c r="H83" s="127">
        <v>37438</v>
      </c>
      <c r="J83" s="82"/>
      <c r="K83" s="108"/>
      <c r="L83" s="128"/>
      <c r="M83" s="108"/>
      <c r="N83" s="91">
        <v>20</v>
      </c>
      <c r="O83" s="129">
        <f t="shared" si="8"/>
        <v>716722.6756858561</v>
      </c>
      <c r="P83" s="89">
        <f>RATE(P28,-Q30,Q23)</f>
        <v>0.007083333333333172</v>
      </c>
      <c r="Q83" s="63">
        <f t="shared" si="13"/>
        <v>9958.837001851518</v>
      </c>
      <c r="R83" s="63">
        <f t="shared" si="3"/>
        <v>5076.785619441365</v>
      </c>
      <c r="S83" s="63">
        <f t="shared" si="4"/>
        <v>4882.051382410153</v>
      </c>
      <c r="T83" s="130">
        <v>37438</v>
      </c>
      <c r="U83" s="91">
        <v>20</v>
      </c>
      <c r="V83" s="129">
        <f t="shared" si="10"/>
        <v>628853.9866614231</v>
      </c>
      <c r="W83" s="89">
        <f>RATE(W28,-X30,X23)</f>
        <v>0.0070833333333331265</v>
      </c>
      <c r="X83" s="63">
        <f t="shared" si="11"/>
        <v>9958.837001851518</v>
      </c>
      <c r="Y83" s="63">
        <f t="shared" si="5"/>
        <v>4454.382405518284</v>
      </c>
      <c r="Z83" s="63">
        <f t="shared" si="6"/>
        <v>5504.454596333234</v>
      </c>
      <c r="AA83" s="130">
        <v>37438</v>
      </c>
      <c r="AB83" s="40"/>
      <c r="AC83" s="106" t="s">
        <v>226</v>
      </c>
      <c r="AD83" s="40"/>
      <c r="AE83" s="63"/>
      <c r="AF83" s="67"/>
    </row>
    <row r="84" spans="1:32" ht="12.75">
      <c r="A84" s="90">
        <v>21</v>
      </c>
      <c r="B84" s="131">
        <f t="shared" si="7"/>
        <v>711585.078908133</v>
      </c>
      <c r="C84" s="124">
        <f t="shared" si="0"/>
        <v>0.08499999999999806</v>
      </c>
      <c r="D84" s="125">
        <f t="shared" si="12"/>
        <v>0.007083333333333172</v>
      </c>
      <c r="E84" s="126">
        <v>10043.42</v>
      </c>
      <c r="F84" s="126">
        <f t="shared" si="1"/>
        <v>5040.394308932494</v>
      </c>
      <c r="G84" s="126">
        <f t="shared" si="2"/>
        <v>5003.025691067506</v>
      </c>
      <c r="H84" s="127">
        <v>37469</v>
      </c>
      <c r="J84" s="82"/>
      <c r="K84" s="108"/>
      <c r="L84" s="128"/>
      <c r="M84" s="108"/>
      <c r="N84" s="91">
        <v>21</v>
      </c>
      <c r="O84" s="129">
        <f t="shared" si="8"/>
        <v>711840.624303446</v>
      </c>
      <c r="P84" s="89">
        <f>RATE(P28,-Q30,Q23)</f>
        <v>0.007083333333333172</v>
      </c>
      <c r="Q84" s="63">
        <f t="shared" si="13"/>
        <v>9958.837001851518</v>
      </c>
      <c r="R84" s="63">
        <f t="shared" si="3"/>
        <v>5042.204422149294</v>
      </c>
      <c r="S84" s="63">
        <f t="shared" si="4"/>
        <v>4916.632579702224</v>
      </c>
      <c r="T84" s="130">
        <v>37469</v>
      </c>
      <c r="U84" s="91">
        <v>21</v>
      </c>
      <c r="V84" s="129">
        <f t="shared" si="10"/>
        <v>623349.5320650899</v>
      </c>
      <c r="W84" s="89">
        <f>RATE(W28,-X30,X23)</f>
        <v>0.0070833333333331265</v>
      </c>
      <c r="X84" s="63">
        <f t="shared" si="11"/>
        <v>9958.837001851518</v>
      </c>
      <c r="Y84" s="63">
        <f t="shared" si="5"/>
        <v>4415.392518794258</v>
      </c>
      <c r="Z84" s="63">
        <f t="shared" si="6"/>
        <v>5543.44448305726</v>
      </c>
      <c r="AA84" s="130">
        <v>37469</v>
      </c>
      <c r="AB84" s="40"/>
      <c r="AC84" s="40" t="s">
        <v>213</v>
      </c>
      <c r="AD84" s="40"/>
      <c r="AE84" s="63">
        <f>+AE70+AE80+AE81+AE82</f>
        <v>640367.8192568023</v>
      </c>
      <c r="AF84" s="67"/>
    </row>
    <row r="85" spans="1:32" ht="12.75">
      <c r="A85" s="90">
        <v>22</v>
      </c>
      <c r="B85" s="131">
        <f t="shared" si="7"/>
        <v>706582.0532170655</v>
      </c>
      <c r="C85" s="124">
        <f t="shared" si="0"/>
        <v>0.08499999999999806</v>
      </c>
      <c r="D85" s="125">
        <f t="shared" si="12"/>
        <v>0.007083333333333172</v>
      </c>
      <c r="E85" s="126">
        <v>10043.42</v>
      </c>
      <c r="F85" s="126">
        <f t="shared" si="1"/>
        <v>5004.956210287433</v>
      </c>
      <c r="G85" s="126">
        <f t="shared" si="2"/>
        <v>5038.463789712567</v>
      </c>
      <c r="H85" s="127">
        <v>37500</v>
      </c>
      <c r="J85" s="82"/>
      <c r="K85" s="108"/>
      <c r="L85" s="128"/>
      <c r="M85" s="108"/>
      <c r="N85" s="91">
        <v>22</v>
      </c>
      <c r="O85" s="129">
        <f t="shared" si="8"/>
        <v>706923.9917237438</v>
      </c>
      <c r="P85" s="89">
        <f>RATE(P28,-Q30,Q23)</f>
        <v>0.007083333333333172</v>
      </c>
      <c r="Q85" s="63">
        <f t="shared" si="13"/>
        <v>9958.837001851518</v>
      </c>
      <c r="R85" s="63">
        <f t="shared" si="3"/>
        <v>5007.3782747097375</v>
      </c>
      <c r="S85" s="63">
        <f t="shared" si="4"/>
        <v>4951.45872714178</v>
      </c>
      <c r="T85" s="130">
        <v>37500</v>
      </c>
      <c r="U85" s="91">
        <v>22</v>
      </c>
      <c r="V85" s="129">
        <f t="shared" si="10"/>
        <v>617806.0875820327</v>
      </c>
      <c r="W85" s="89">
        <f>RATE(W28,-X30,X23)</f>
        <v>0.0070833333333331265</v>
      </c>
      <c r="X85" s="63">
        <f t="shared" si="11"/>
        <v>9958.837001851518</v>
      </c>
      <c r="Y85" s="63">
        <f t="shared" si="5"/>
        <v>4376.126453705937</v>
      </c>
      <c r="Z85" s="63">
        <f t="shared" si="6"/>
        <v>5582.710548145581</v>
      </c>
      <c r="AA85" s="130">
        <v>37500</v>
      </c>
      <c r="AB85" s="40"/>
      <c r="AC85" s="40"/>
      <c r="AD85" s="40"/>
      <c r="AE85" s="63"/>
      <c r="AF85" s="96"/>
    </row>
    <row r="86" spans="1:32" ht="12.75">
      <c r="A86" s="90">
        <v>23</v>
      </c>
      <c r="B86" s="131">
        <f t="shared" si="7"/>
        <v>701543.589427353</v>
      </c>
      <c r="C86" s="124">
        <f t="shared" si="0"/>
        <v>0.08499999999999806</v>
      </c>
      <c r="D86" s="125">
        <f t="shared" si="12"/>
        <v>0.007083333333333172</v>
      </c>
      <c r="E86" s="126">
        <v>10043.42</v>
      </c>
      <c r="F86" s="126">
        <f t="shared" si="1"/>
        <v>4969.26709177697</v>
      </c>
      <c r="G86" s="126">
        <f t="shared" si="2"/>
        <v>5074.15290822303</v>
      </c>
      <c r="H86" s="127">
        <v>37530</v>
      </c>
      <c r="J86" s="82"/>
      <c r="K86" s="108"/>
      <c r="L86" s="128"/>
      <c r="M86" s="108"/>
      <c r="N86" s="91">
        <v>23</v>
      </c>
      <c r="O86" s="129">
        <f t="shared" si="8"/>
        <v>701972.5329966021</v>
      </c>
      <c r="P86" s="89">
        <f>RATE(P28,-Q30,Q23)</f>
        <v>0.007083333333333172</v>
      </c>
      <c r="Q86" s="63">
        <f t="shared" si="13"/>
        <v>9958.837001851518</v>
      </c>
      <c r="R86" s="63">
        <f t="shared" si="3"/>
        <v>4972.305442059152</v>
      </c>
      <c r="S86" s="63">
        <f t="shared" si="4"/>
        <v>4986.531559792366</v>
      </c>
      <c r="T86" s="130">
        <v>37530</v>
      </c>
      <c r="U86" s="91">
        <v>23</v>
      </c>
      <c r="V86" s="129">
        <f t="shared" si="10"/>
        <v>612223.3770338871</v>
      </c>
      <c r="W86" s="89">
        <f>RATE(W28,-X30,X23)</f>
        <v>0.0070833333333331265</v>
      </c>
      <c r="X86" s="63">
        <f t="shared" si="11"/>
        <v>9958.837001851518</v>
      </c>
      <c r="Y86" s="63">
        <f t="shared" si="5"/>
        <v>4336.582253989907</v>
      </c>
      <c r="Z86" s="63">
        <f t="shared" si="6"/>
        <v>5622.254747861611</v>
      </c>
      <c r="AA86" s="130">
        <v>37530</v>
      </c>
      <c r="AB86" s="40"/>
      <c r="AC86" s="40" t="s">
        <v>227</v>
      </c>
      <c r="AD86" s="80">
        <v>0</v>
      </c>
      <c r="AE86" s="63">
        <f>+(AE80+AE82)*AD86</f>
        <v>0</v>
      </c>
      <c r="AF86" s="102"/>
    </row>
    <row r="87" spans="1:32" ht="12.75">
      <c r="A87" s="90">
        <v>24</v>
      </c>
      <c r="B87" s="131">
        <f t="shared" si="7"/>
        <v>696469.43651913</v>
      </c>
      <c r="C87" s="124">
        <f t="shared" si="0"/>
        <v>0.08499999999999806</v>
      </c>
      <c r="D87" s="125">
        <f t="shared" si="12"/>
        <v>0.007083333333333172</v>
      </c>
      <c r="E87" s="126">
        <v>10043.42</v>
      </c>
      <c r="F87" s="126">
        <f t="shared" si="1"/>
        <v>4933.325175343725</v>
      </c>
      <c r="G87" s="126">
        <f t="shared" si="2"/>
        <v>5110.094824656275</v>
      </c>
      <c r="H87" s="127">
        <v>37561</v>
      </c>
      <c r="J87" s="82"/>
      <c r="K87" s="108"/>
      <c r="L87" s="128"/>
      <c r="M87" s="108"/>
      <c r="N87" s="91">
        <v>24</v>
      </c>
      <c r="O87" s="129">
        <f t="shared" si="8"/>
        <v>696986.0014368098</v>
      </c>
      <c r="P87" s="89">
        <f>RATE(P28,-Q30,Q23)</f>
        <v>0.007083333333333172</v>
      </c>
      <c r="Q87" s="63">
        <f t="shared" si="13"/>
        <v>9958.837001851518</v>
      </c>
      <c r="R87" s="63">
        <f t="shared" si="3"/>
        <v>4936.984176843956</v>
      </c>
      <c r="S87" s="63">
        <f t="shared" si="4"/>
        <v>5021.8528250075615</v>
      </c>
      <c r="T87" s="130">
        <v>37561</v>
      </c>
      <c r="U87" s="91">
        <v>24</v>
      </c>
      <c r="V87" s="129">
        <f t="shared" si="10"/>
        <v>606601.1222860254</v>
      </c>
      <c r="W87" s="89">
        <f>RATE(W28,-X30,X23)</f>
        <v>0.0070833333333331265</v>
      </c>
      <c r="X87" s="63">
        <f t="shared" si="11"/>
        <v>9958.837001851518</v>
      </c>
      <c r="Y87" s="63">
        <f t="shared" si="5"/>
        <v>4296.757949525888</v>
      </c>
      <c r="Z87" s="63">
        <f t="shared" si="6"/>
        <v>5662.07905232563</v>
      </c>
      <c r="AA87" s="130">
        <v>37561</v>
      </c>
      <c r="AB87" s="40"/>
      <c r="AC87" s="40"/>
      <c r="AD87" s="40"/>
      <c r="AE87" s="63"/>
      <c r="AF87" s="67"/>
    </row>
    <row r="88" spans="1:32" ht="12.75">
      <c r="A88" s="90">
        <v>25</v>
      </c>
      <c r="B88" s="131">
        <f t="shared" si="7"/>
        <v>691359.3416944738</v>
      </c>
      <c r="C88" s="124">
        <f t="shared" si="0"/>
        <v>0.08499999999999806</v>
      </c>
      <c r="D88" s="125">
        <f t="shared" si="12"/>
        <v>0.007083333333333172</v>
      </c>
      <c r="E88" s="126">
        <v>10043.42</v>
      </c>
      <c r="F88" s="126">
        <f t="shared" si="1"/>
        <v>4897.128670335744</v>
      </c>
      <c r="G88" s="126">
        <f t="shared" si="2"/>
        <v>5146.291329664256</v>
      </c>
      <c r="H88" s="127">
        <v>37591</v>
      </c>
      <c r="J88" s="82"/>
      <c r="K88" s="108"/>
      <c r="L88" s="128"/>
      <c r="M88" s="108"/>
      <c r="N88" s="91">
        <v>25</v>
      </c>
      <c r="O88" s="129">
        <f t="shared" si="8"/>
        <v>691964.1486118023</v>
      </c>
      <c r="P88" s="89">
        <f>RATE(P28,-Q30,Q23)</f>
        <v>0.007083333333333172</v>
      </c>
      <c r="Q88" s="63">
        <f t="shared" si="13"/>
        <v>9958.837001851518</v>
      </c>
      <c r="R88" s="63">
        <f t="shared" si="3"/>
        <v>4901.412719333487</v>
      </c>
      <c r="S88" s="63">
        <f t="shared" si="4"/>
        <v>5057.424282518031</v>
      </c>
      <c r="T88" s="130">
        <v>37591</v>
      </c>
      <c r="U88" s="91">
        <v>25</v>
      </c>
      <c r="V88" s="129">
        <f t="shared" si="10"/>
        <v>600939.0432336997</v>
      </c>
      <c r="W88" s="89">
        <f>RATE(W28,-X30,X23)</f>
        <v>0.0070833333333331265</v>
      </c>
      <c r="X88" s="63">
        <f t="shared" si="11"/>
        <v>9958.837001851518</v>
      </c>
      <c r="Y88" s="63">
        <f t="shared" si="5"/>
        <v>4256.651556238582</v>
      </c>
      <c r="Z88" s="63">
        <f t="shared" si="6"/>
        <v>5702.185445612936</v>
      </c>
      <c r="AA88" s="130">
        <v>37591</v>
      </c>
      <c r="AB88" s="40"/>
      <c r="AC88" s="40" t="s">
        <v>228</v>
      </c>
      <c r="AD88" s="40"/>
      <c r="AE88" s="63">
        <f>+AE70+AE81+AE86+AE83+AE87</f>
        <v>5259.303030318074</v>
      </c>
      <c r="AF88" s="102"/>
    </row>
    <row r="89" spans="1:32" ht="12.75">
      <c r="A89" s="90">
        <v>26</v>
      </c>
      <c r="B89" s="131">
        <f t="shared" si="7"/>
        <v>686213.0503648095</v>
      </c>
      <c r="C89" s="124">
        <f t="shared" si="0"/>
        <v>0.08499999999999806</v>
      </c>
      <c r="D89" s="125">
        <f t="shared" si="12"/>
        <v>0.007083333333333172</v>
      </c>
      <c r="E89" s="137">
        <v>10043.42</v>
      </c>
      <c r="F89" s="137">
        <f t="shared" si="1"/>
        <v>4860.67577341729</v>
      </c>
      <c r="G89" s="137">
        <f t="shared" si="2"/>
        <v>5182.74422658271</v>
      </c>
      <c r="H89" s="127">
        <v>37622</v>
      </c>
      <c r="J89" s="82"/>
      <c r="K89" s="108"/>
      <c r="L89" s="128"/>
      <c r="M89" s="108"/>
      <c r="N89" s="91">
        <v>26</v>
      </c>
      <c r="O89" s="129">
        <f t="shared" si="8"/>
        <v>686906.7243292843</v>
      </c>
      <c r="P89" s="89">
        <f>RATE(P28,-Q30,Q23)</f>
        <v>0.007083333333333172</v>
      </c>
      <c r="Q89" s="63">
        <f t="shared" si="13"/>
        <v>9958.837001851518</v>
      </c>
      <c r="R89" s="63">
        <f t="shared" si="3"/>
        <v>4865.589297332319</v>
      </c>
      <c r="S89" s="63">
        <f t="shared" si="4"/>
        <v>5093.247704519199</v>
      </c>
      <c r="T89" s="130">
        <v>37622</v>
      </c>
      <c r="U89" s="91">
        <v>26</v>
      </c>
      <c r="V89" s="129">
        <f t="shared" si="10"/>
        <v>595236.8577880869</v>
      </c>
      <c r="W89" s="89">
        <f>RATE(W28,-X30,X23)</f>
        <v>0.0070833333333331265</v>
      </c>
      <c r="X89" s="63">
        <f t="shared" si="11"/>
        <v>9958.837001851518</v>
      </c>
      <c r="Y89" s="63">
        <f t="shared" si="5"/>
        <v>4216.261075998826</v>
      </c>
      <c r="Z89" s="63">
        <f t="shared" si="6"/>
        <v>5742.575925852692</v>
      </c>
      <c r="AA89" s="130">
        <v>37622</v>
      </c>
      <c r="AB89" s="40"/>
      <c r="AC89" s="40"/>
      <c r="AD89" s="40"/>
      <c r="AE89" s="63"/>
      <c r="AF89" s="67"/>
    </row>
    <row r="90" spans="1:32" ht="12.75">
      <c r="A90" s="90">
        <v>27</v>
      </c>
      <c r="B90" s="131">
        <f t="shared" si="7"/>
        <v>681030.3061382268</v>
      </c>
      <c r="C90" s="124">
        <f t="shared" si="0"/>
        <v>0.08499999999999806</v>
      </c>
      <c r="D90" s="125">
        <f t="shared" si="12"/>
        <v>0.007083333333333172</v>
      </c>
      <c r="E90" s="137">
        <v>10043.42</v>
      </c>
      <c r="F90" s="137">
        <f t="shared" si="1"/>
        <v>4823.964668478996</v>
      </c>
      <c r="G90" s="137">
        <f t="shared" si="2"/>
        <v>5219.455331521004</v>
      </c>
      <c r="H90" s="127">
        <v>37653</v>
      </c>
      <c r="J90" s="82"/>
      <c r="K90" s="108"/>
      <c r="L90" s="128"/>
      <c r="M90" s="108"/>
      <c r="N90" s="91">
        <v>27</v>
      </c>
      <c r="O90" s="129">
        <f t="shared" si="8"/>
        <v>681813.4766247651</v>
      </c>
      <c r="P90" s="89">
        <f>RATE(P28,-Q30,Q23)</f>
        <v>0.007083333333333172</v>
      </c>
      <c r="Q90" s="63">
        <f t="shared" si="13"/>
        <v>9958.837001851518</v>
      </c>
      <c r="R90" s="63">
        <f t="shared" si="3"/>
        <v>4829.512126091976</v>
      </c>
      <c r="S90" s="63">
        <f t="shared" si="4"/>
        <v>5129.324875759542</v>
      </c>
      <c r="T90" s="130">
        <v>37653</v>
      </c>
      <c r="U90" s="91">
        <v>27</v>
      </c>
      <c r="V90" s="129">
        <f t="shared" si="10"/>
        <v>589494.2818622342</v>
      </c>
      <c r="W90" s="89">
        <f>RATE(W28,-X30,X23)</f>
        <v>0.0070833333333331265</v>
      </c>
      <c r="X90" s="63">
        <f t="shared" si="11"/>
        <v>9958.837001851518</v>
      </c>
      <c r="Y90" s="63">
        <f t="shared" si="5"/>
        <v>4175.584496524038</v>
      </c>
      <c r="Z90" s="63">
        <f t="shared" si="6"/>
        <v>5783.25250532748</v>
      </c>
      <c r="AA90" s="130">
        <v>37653</v>
      </c>
      <c r="AB90" s="40"/>
      <c r="AC90" s="40" t="s">
        <v>229</v>
      </c>
      <c r="AD90" s="40" t="s">
        <v>209</v>
      </c>
      <c r="AE90" s="63">
        <f>+AE80-AE71</f>
        <v>99973.7419450176</v>
      </c>
      <c r="AF90" s="67"/>
    </row>
    <row r="91" spans="1:32" ht="12.75">
      <c r="A91" s="132">
        <v>28</v>
      </c>
      <c r="B91" s="123">
        <f t="shared" si="7"/>
        <v>675810.8508067058</v>
      </c>
      <c r="C91" s="133">
        <f t="shared" si="0"/>
        <v>0.07000000000000631</v>
      </c>
      <c r="D91" s="134">
        <f>+AD26</f>
        <v>0.005833333333333859</v>
      </c>
      <c r="E91" s="138">
        <v>9528.36</v>
      </c>
      <c r="F91" s="138">
        <f t="shared" si="1"/>
        <v>3942.2299630394723</v>
      </c>
      <c r="G91" s="138">
        <f t="shared" si="2"/>
        <v>5586.130036960529</v>
      </c>
      <c r="H91" s="136">
        <v>37681</v>
      </c>
      <c r="J91" s="82"/>
      <c r="K91" s="108"/>
      <c r="L91" s="128"/>
      <c r="M91" s="108"/>
      <c r="N91" s="91">
        <v>28</v>
      </c>
      <c r="O91" s="129">
        <f t="shared" si="8"/>
        <v>676684.1517490055</v>
      </c>
      <c r="P91" s="89">
        <f>RATE(P28,-Q30,Q23)</f>
        <v>0.007083333333333172</v>
      </c>
      <c r="Q91" s="63">
        <f t="shared" si="13"/>
        <v>9958.837001851518</v>
      </c>
      <c r="R91" s="63">
        <f t="shared" si="3"/>
        <v>4793.179408222013</v>
      </c>
      <c r="S91" s="63">
        <f t="shared" si="4"/>
        <v>5165.657593629505</v>
      </c>
      <c r="T91" s="130">
        <v>37681</v>
      </c>
      <c r="U91" s="91">
        <v>28</v>
      </c>
      <c r="V91" s="129">
        <f t="shared" si="10"/>
        <v>583711.0293569068</v>
      </c>
      <c r="W91" s="89">
        <f>RATE(W28,-X30,X23)</f>
        <v>0.0070833333333331265</v>
      </c>
      <c r="X91" s="63">
        <f t="shared" si="11"/>
        <v>9958.837001851518</v>
      </c>
      <c r="Y91" s="63">
        <f t="shared" si="5"/>
        <v>4134.619791277969</v>
      </c>
      <c r="Z91" s="63">
        <f t="shared" si="6"/>
        <v>5824.217210573549</v>
      </c>
      <c r="AA91" s="130">
        <v>37681</v>
      </c>
      <c r="AB91" s="40"/>
      <c r="AC91" s="40" t="s">
        <v>230</v>
      </c>
      <c r="AD91" s="40"/>
      <c r="AE91" s="52">
        <f>+AE84/AE69*100</f>
        <v>121.75906494934823</v>
      </c>
      <c r="AF91" s="52"/>
    </row>
    <row r="92" spans="1:32" ht="12.75">
      <c r="A92" s="90">
        <v>29</v>
      </c>
      <c r="B92" s="131">
        <f t="shared" si="7"/>
        <v>670224.7207697453</v>
      </c>
      <c r="C92" s="124">
        <f t="shared" si="0"/>
        <v>0.07000000000000631</v>
      </c>
      <c r="D92" s="125">
        <f aca="true" t="shared" si="14" ref="D92:D117">+D91</f>
        <v>0.005833333333333859</v>
      </c>
      <c r="E92" s="137">
        <v>9528.36</v>
      </c>
      <c r="F92" s="137">
        <f t="shared" si="1"/>
        <v>3909.6442044905334</v>
      </c>
      <c r="G92" s="137">
        <f t="shared" si="2"/>
        <v>5618.715795509467</v>
      </c>
      <c r="H92" s="127">
        <v>37712</v>
      </c>
      <c r="J92" s="82"/>
      <c r="K92" s="108"/>
      <c r="L92" s="128"/>
      <c r="M92" s="108"/>
      <c r="N92" s="91">
        <v>29</v>
      </c>
      <c r="O92" s="129">
        <f t="shared" si="8"/>
        <v>671518.494155376</v>
      </c>
      <c r="P92" s="89">
        <f>RATE(P28,-Q30,Q23)</f>
        <v>0.007083333333333172</v>
      </c>
      <c r="Q92" s="63">
        <f t="shared" si="13"/>
        <v>9958.837001851518</v>
      </c>
      <c r="R92" s="63">
        <f t="shared" si="3"/>
        <v>4756.589333600471</v>
      </c>
      <c r="S92" s="63">
        <f t="shared" si="4"/>
        <v>5202.247668251047</v>
      </c>
      <c r="T92" s="130">
        <v>37712</v>
      </c>
      <c r="U92" s="91">
        <v>29</v>
      </c>
      <c r="V92" s="129">
        <f t="shared" si="10"/>
        <v>577886.8121463333</v>
      </c>
      <c r="W92" s="89">
        <f>RATE(W28,-X30,X23)</f>
        <v>0.0070833333333331265</v>
      </c>
      <c r="X92" s="63">
        <f t="shared" si="11"/>
        <v>9958.837001851518</v>
      </c>
      <c r="Y92" s="63">
        <f t="shared" si="5"/>
        <v>4093.364919369741</v>
      </c>
      <c r="Z92" s="63">
        <f t="shared" si="6"/>
        <v>5865.472082481777</v>
      </c>
      <c r="AA92" s="130">
        <v>37712</v>
      </c>
      <c r="AB92" s="40"/>
      <c r="AC92" s="40"/>
      <c r="AD92" s="40" t="s">
        <v>209</v>
      </c>
      <c r="AE92" s="40"/>
      <c r="AF92" s="40"/>
    </row>
    <row r="93" spans="1:27" ht="12.75">
      <c r="A93" s="90">
        <v>30</v>
      </c>
      <c r="B93" s="131">
        <f t="shared" si="7"/>
        <v>664606.0049742358</v>
      </c>
      <c r="C93" s="124">
        <f t="shared" si="0"/>
        <v>0.07000000000000631</v>
      </c>
      <c r="D93" s="125">
        <f t="shared" si="14"/>
        <v>0.005833333333333859</v>
      </c>
      <c r="E93" s="137">
        <v>9528.36</v>
      </c>
      <c r="F93" s="137">
        <f t="shared" si="1"/>
        <v>3876.8683623500583</v>
      </c>
      <c r="G93" s="137">
        <f t="shared" si="2"/>
        <v>5651.491637649942</v>
      </c>
      <c r="H93" s="127">
        <v>37742</v>
      </c>
      <c r="J93" s="82"/>
      <c r="K93" s="108"/>
      <c r="L93" s="128"/>
      <c r="M93" s="108"/>
      <c r="N93" s="91">
        <v>30</v>
      </c>
      <c r="O93" s="129">
        <f t="shared" si="8"/>
        <v>666316.2464871249</v>
      </c>
      <c r="P93" s="89">
        <f>RATE(P28,-Q30,Q23)</f>
        <v>0.007083333333333172</v>
      </c>
      <c r="Q93" s="63">
        <f t="shared" si="13"/>
        <v>9958.837001851518</v>
      </c>
      <c r="R93" s="63">
        <f t="shared" si="3"/>
        <v>4719.740079283694</v>
      </c>
      <c r="S93" s="63">
        <f t="shared" si="4"/>
        <v>5239.096922567824</v>
      </c>
      <c r="T93" s="130">
        <v>37742</v>
      </c>
      <c r="U93" s="91">
        <v>30</v>
      </c>
      <c r="V93" s="129">
        <f t="shared" si="10"/>
        <v>572021.3400638516</v>
      </c>
      <c r="W93" s="89">
        <f>RATE(W28,-X30,X23)</f>
        <v>0.0070833333333331265</v>
      </c>
      <c r="X93" s="63">
        <f t="shared" si="11"/>
        <v>9958.837001851518</v>
      </c>
      <c r="Y93" s="63">
        <f t="shared" si="5"/>
        <v>4051.8178254521636</v>
      </c>
      <c r="Z93" s="63">
        <f t="shared" si="6"/>
        <v>5907.019176399354</v>
      </c>
      <c r="AA93" s="130">
        <v>37742</v>
      </c>
    </row>
    <row r="94" spans="1:27" ht="12.75">
      <c r="A94" s="90">
        <v>31</v>
      </c>
      <c r="B94" s="131">
        <f t="shared" si="7"/>
        <v>658954.5133365858</v>
      </c>
      <c r="C94" s="124">
        <f t="shared" si="0"/>
        <v>0.07000000000000631</v>
      </c>
      <c r="D94" s="125">
        <f t="shared" si="14"/>
        <v>0.005833333333333859</v>
      </c>
      <c r="E94" s="137">
        <v>9528.36</v>
      </c>
      <c r="F94" s="137">
        <f t="shared" si="1"/>
        <v>3843.901327797097</v>
      </c>
      <c r="G94" s="137">
        <f t="shared" si="2"/>
        <v>5684.4586722029035</v>
      </c>
      <c r="H94" s="127">
        <v>37773</v>
      </c>
      <c r="J94" s="82"/>
      <c r="K94" s="108"/>
      <c r="L94" s="128"/>
      <c r="M94" s="108"/>
      <c r="N94" s="91">
        <v>31</v>
      </c>
      <c r="O94" s="129">
        <f t="shared" si="8"/>
        <v>661077.1495645571</v>
      </c>
      <c r="P94" s="89">
        <f>RATE(P28,-Q30,Q23)</f>
        <v>0.007083333333333172</v>
      </c>
      <c r="Q94" s="63">
        <f t="shared" si="13"/>
        <v>9958.837001851518</v>
      </c>
      <c r="R94" s="63">
        <f t="shared" si="3"/>
        <v>4682.629809415506</v>
      </c>
      <c r="S94" s="63">
        <f t="shared" si="4"/>
        <v>5276.207192436012</v>
      </c>
      <c r="T94" s="130">
        <v>37773</v>
      </c>
      <c r="U94" s="91">
        <v>31</v>
      </c>
      <c r="V94" s="129">
        <f t="shared" si="10"/>
        <v>566114.3208874522</v>
      </c>
      <c r="W94" s="89">
        <f>RATE(W28,-X30,X23)</f>
        <v>0.0070833333333331265</v>
      </c>
      <c r="X94" s="63">
        <f t="shared" si="11"/>
        <v>9958.837001851518</v>
      </c>
      <c r="Y94" s="63">
        <f t="shared" si="5"/>
        <v>4009.9764396193364</v>
      </c>
      <c r="Z94" s="63">
        <f t="shared" si="6"/>
        <v>5948.860562232181</v>
      </c>
      <c r="AA94" s="130">
        <v>37773</v>
      </c>
    </row>
    <row r="95" spans="1:27" ht="12.75">
      <c r="A95" s="90">
        <v>32</v>
      </c>
      <c r="B95" s="131">
        <f t="shared" si="7"/>
        <v>653270.054664383</v>
      </c>
      <c r="C95" s="124">
        <f t="shared" si="0"/>
        <v>0.07000000000000631</v>
      </c>
      <c r="D95" s="125">
        <f t="shared" si="14"/>
        <v>0.005833333333333859</v>
      </c>
      <c r="E95" s="137">
        <v>9528.36</v>
      </c>
      <c r="F95" s="137">
        <f t="shared" si="1"/>
        <v>3810.7419855425774</v>
      </c>
      <c r="G95" s="137">
        <f t="shared" si="2"/>
        <v>5717.618014457423</v>
      </c>
      <c r="H95" s="127">
        <v>37803</v>
      </c>
      <c r="J95" s="82"/>
      <c r="K95" s="108"/>
      <c r="L95" s="128"/>
      <c r="M95" s="108"/>
      <c r="N95" s="91">
        <v>32</v>
      </c>
      <c r="O95" s="129">
        <f t="shared" si="8"/>
        <v>655800.9423721211</v>
      </c>
      <c r="P95" s="89">
        <f>RATE(P28,-Q30,Q23)</f>
        <v>0.007083333333333172</v>
      </c>
      <c r="Q95" s="63">
        <f t="shared" si="13"/>
        <v>9958.837001851518</v>
      </c>
      <c r="R95" s="63">
        <f t="shared" si="3"/>
        <v>4645.256675135752</v>
      </c>
      <c r="S95" s="63">
        <f t="shared" si="4"/>
        <v>5313.580326715766</v>
      </c>
      <c r="T95" s="130">
        <v>37803</v>
      </c>
      <c r="U95" s="91">
        <v>32</v>
      </c>
      <c r="V95" s="129">
        <f t="shared" si="10"/>
        <v>560165.46032522</v>
      </c>
      <c r="W95" s="89">
        <f>RATE(W28,-X30,X23)</f>
        <v>0.0070833333333331265</v>
      </c>
      <c r="X95" s="63">
        <f t="shared" si="11"/>
        <v>9958.837001851518</v>
      </c>
      <c r="Y95" s="63">
        <f t="shared" si="5"/>
        <v>3967.838677303526</v>
      </c>
      <c r="Z95" s="63">
        <f t="shared" si="6"/>
        <v>5990.9983245479925</v>
      </c>
      <c r="AA95" s="130">
        <v>37803</v>
      </c>
    </row>
    <row r="96" spans="1:32" ht="12.75">
      <c r="A96" s="90">
        <v>33</v>
      </c>
      <c r="B96" s="131">
        <f t="shared" si="7"/>
        <v>647552.4366499255</v>
      </c>
      <c r="C96" s="124">
        <f aca="true" t="shared" si="15" ref="C96:C127">+D96*12</f>
        <v>0.07000000000000631</v>
      </c>
      <c r="D96" s="125">
        <f t="shared" si="14"/>
        <v>0.005833333333333859</v>
      </c>
      <c r="E96" s="137">
        <v>9528.36</v>
      </c>
      <c r="F96" s="137">
        <f aca="true" t="shared" si="16" ref="F96:F127">+B96*D96</f>
        <v>3777.3892137915727</v>
      </c>
      <c r="G96" s="137">
        <f aca="true" t="shared" si="17" ref="G96:G127">+E96-F96</f>
        <v>5750.970786208428</v>
      </c>
      <c r="H96" s="127">
        <v>37834</v>
      </c>
      <c r="J96" s="82"/>
      <c r="K96" s="108"/>
      <c r="L96" s="128"/>
      <c r="M96" s="108"/>
      <c r="N96" s="91">
        <v>33</v>
      </c>
      <c r="O96" s="129">
        <f t="shared" si="8"/>
        <v>650487.3620454054</v>
      </c>
      <c r="P96" s="89">
        <f>RATE(P28,-Q30,Q23)</f>
        <v>0.007083333333333172</v>
      </c>
      <c r="Q96" s="63">
        <f t="shared" si="13"/>
        <v>9958.837001851518</v>
      </c>
      <c r="R96" s="63">
        <f aca="true" t="shared" si="18" ref="R96:R127">+O96*P96</f>
        <v>4607.6188144881835</v>
      </c>
      <c r="S96" s="63">
        <f aca="true" t="shared" si="19" ref="S96:S127">+Q96-R96</f>
        <v>5351.218187363334</v>
      </c>
      <c r="T96" s="130">
        <v>37834</v>
      </c>
      <c r="U96" s="91">
        <v>33</v>
      </c>
      <c r="V96" s="129">
        <f t="shared" si="10"/>
        <v>554174.462000672</v>
      </c>
      <c r="W96" s="89">
        <f>RATE(W28,-X30,X23)</f>
        <v>0.0070833333333331265</v>
      </c>
      <c r="X96" s="63">
        <f t="shared" si="11"/>
        <v>9958.837001851518</v>
      </c>
      <c r="Y96" s="63">
        <f aca="true" t="shared" si="20" ref="Y96:Y127">+V96*W96</f>
        <v>3925.402439171312</v>
      </c>
      <c r="Z96" s="63">
        <f aca="true" t="shared" si="21" ref="Z96:Z127">+X96-Y96</f>
        <v>6033.434562680206</v>
      </c>
      <c r="AA96" s="130">
        <v>37834</v>
      </c>
      <c r="AB96" s="40"/>
      <c r="AC96" s="40"/>
      <c r="AD96" s="44" t="s">
        <v>207</v>
      </c>
      <c r="AE96" s="44" t="s">
        <v>208</v>
      </c>
      <c r="AF96" s="40"/>
    </row>
    <row r="97" spans="1:32" ht="12.75">
      <c r="A97" s="90">
        <v>34</v>
      </c>
      <c r="B97" s="131">
        <f aca="true" t="shared" si="22" ref="B97:B128">+B96-G96</f>
        <v>641801.4658637171</v>
      </c>
      <c r="C97" s="124">
        <f t="shared" si="15"/>
        <v>0.07000000000000631</v>
      </c>
      <c r="D97" s="125">
        <f t="shared" si="14"/>
        <v>0.005833333333333859</v>
      </c>
      <c r="E97" s="137">
        <v>9528.36</v>
      </c>
      <c r="F97" s="137">
        <f t="shared" si="16"/>
        <v>3743.8418842053543</v>
      </c>
      <c r="G97" s="137">
        <f t="shared" si="17"/>
        <v>5784.518115794646</v>
      </c>
      <c r="H97" s="127">
        <v>37865</v>
      </c>
      <c r="J97" s="82"/>
      <c r="K97" s="108"/>
      <c r="L97" s="128"/>
      <c r="M97" s="108"/>
      <c r="N97" s="91">
        <v>34</v>
      </c>
      <c r="O97" s="129">
        <f aca="true" t="shared" si="23" ref="O97:O128">+O96-S96</f>
        <v>645136.1438580421</v>
      </c>
      <c r="P97" s="89">
        <f>RATE(P28,-Q30,Q23)</f>
        <v>0.007083333333333172</v>
      </c>
      <c r="Q97" s="63">
        <f t="shared" si="13"/>
        <v>9958.837001851518</v>
      </c>
      <c r="R97" s="63">
        <f t="shared" si="18"/>
        <v>4569.714352327694</v>
      </c>
      <c r="S97" s="63">
        <f t="shared" si="19"/>
        <v>5389.122649523824</v>
      </c>
      <c r="T97" s="130">
        <v>37865</v>
      </c>
      <c r="U97" s="91">
        <v>34</v>
      </c>
      <c r="V97" s="129">
        <f aca="true" t="shared" si="24" ref="V97:V128">+V96-Z96</f>
        <v>548141.0274379918</v>
      </c>
      <c r="W97" s="89">
        <f>RATE(W28,-X30,X23)</f>
        <v>0.0070833333333331265</v>
      </c>
      <c r="X97" s="63">
        <f aca="true" t="shared" si="25" ref="X97:X128">+X96</f>
        <v>9958.837001851518</v>
      </c>
      <c r="Y97" s="63">
        <f t="shared" si="20"/>
        <v>3882.665611018995</v>
      </c>
      <c r="Z97" s="63">
        <f t="shared" si="21"/>
        <v>6076.171390832523</v>
      </c>
      <c r="AA97" s="130">
        <v>37865</v>
      </c>
      <c r="AB97" s="40"/>
      <c r="AC97" s="40"/>
      <c r="AD97" s="40"/>
      <c r="AE97" s="40" t="s">
        <v>209</v>
      </c>
      <c r="AF97" s="40"/>
    </row>
    <row r="98" spans="1:32" ht="12.75">
      <c r="A98" s="90">
        <v>35</v>
      </c>
      <c r="B98" s="131">
        <f t="shared" si="22"/>
        <v>636016.9477479225</v>
      </c>
      <c r="C98" s="124">
        <f t="shared" si="15"/>
        <v>0.07000000000000631</v>
      </c>
      <c r="D98" s="125">
        <f t="shared" si="14"/>
        <v>0.005833333333333859</v>
      </c>
      <c r="E98" s="137">
        <v>9528.36</v>
      </c>
      <c r="F98" s="137">
        <f t="shared" si="16"/>
        <v>3710.098861863216</v>
      </c>
      <c r="G98" s="137">
        <f t="shared" si="17"/>
        <v>5818.261138136784</v>
      </c>
      <c r="H98" s="127">
        <v>37895</v>
      </c>
      <c r="J98" s="82"/>
      <c r="K98" s="108"/>
      <c r="L98" s="128"/>
      <c r="M98" s="108"/>
      <c r="N98" s="91">
        <v>35</v>
      </c>
      <c r="O98" s="129">
        <f t="shared" si="23"/>
        <v>639747.0212085183</v>
      </c>
      <c r="P98" s="89">
        <f>RATE(P28,-Q30,Q23)</f>
        <v>0.007083333333333172</v>
      </c>
      <c r="Q98" s="63">
        <f t="shared" si="13"/>
        <v>9958.837001851518</v>
      </c>
      <c r="R98" s="63">
        <f t="shared" si="18"/>
        <v>4531.541400226901</v>
      </c>
      <c r="S98" s="63">
        <f t="shared" si="19"/>
        <v>5427.295601624617</v>
      </c>
      <c r="T98" s="130">
        <v>37895</v>
      </c>
      <c r="U98" s="91">
        <v>35</v>
      </c>
      <c r="V98" s="129">
        <f t="shared" si="24"/>
        <v>542064.8560471593</v>
      </c>
      <c r="W98" s="89">
        <f>RATE(W28,-X30,X23)</f>
        <v>0.0070833333333331265</v>
      </c>
      <c r="X98" s="63">
        <f t="shared" si="25"/>
        <v>9958.837001851518</v>
      </c>
      <c r="Y98" s="63">
        <f t="shared" si="20"/>
        <v>3839.6260636672664</v>
      </c>
      <c r="Z98" s="63">
        <f t="shared" si="21"/>
        <v>6119.210938184251</v>
      </c>
      <c r="AA98" s="130">
        <v>37895</v>
      </c>
      <c r="AB98" s="40"/>
      <c r="AC98" s="40" t="s">
        <v>210</v>
      </c>
      <c r="AD98" s="40" t="s">
        <v>209</v>
      </c>
      <c r="AE98" s="41" t="s">
        <v>212</v>
      </c>
      <c r="AF98" s="41"/>
    </row>
    <row r="99" spans="1:32" ht="12.75">
      <c r="A99" s="90">
        <v>36</v>
      </c>
      <c r="B99" s="131">
        <f t="shared" si="22"/>
        <v>630198.6866097858</v>
      </c>
      <c r="C99" s="124">
        <f t="shared" si="15"/>
        <v>0.07000000000000631</v>
      </c>
      <c r="D99" s="125">
        <f t="shared" si="14"/>
        <v>0.005833333333333859</v>
      </c>
      <c r="E99" s="137">
        <v>9528.36</v>
      </c>
      <c r="F99" s="137">
        <f t="shared" si="16"/>
        <v>3676.1590052240817</v>
      </c>
      <c r="G99" s="137">
        <f t="shared" si="17"/>
        <v>5852.200994775919</v>
      </c>
      <c r="H99" s="127">
        <v>37926</v>
      </c>
      <c r="J99" s="82"/>
      <c r="K99" s="108"/>
      <c r="L99" s="128"/>
      <c r="M99" s="108"/>
      <c r="N99" s="91">
        <v>36</v>
      </c>
      <c r="O99" s="129">
        <f t="shared" si="23"/>
        <v>634319.7256068937</v>
      </c>
      <c r="P99" s="89">
        <f>RATE(P28,-Q30,Q23)</f>
        <v>0.007083333333333172</v>
      </c>
      <c r="Q99" s="63">
        <f t="shared" si="13"/>
        <v>9958.837001851518</v>
      </c>
      <c r="R99" s="63">
        <f t="shared" si="18"/>
        <v>4493.098056382061</v>
      </c>
      <c r="S99" s="63">
        <f t="shared" si="19"/>
        <v>5465.738945469457</v>
      </c>
      <c r="T99" s="130">
        <v>37926</v>
      </c>
      <c r="U99" s="91">
        <v>36</v>
      </c>
      <c r="V99" s="129">
        <f t="shared" si="24"/>
        <v>535945.645108975</v>
      </c>
      <c r="W99" s="89">
        <f>RATE(W28,-X30,X23)</f>
        <v>0.0070833333333331265</v>
      </c>
      <c r="X99" s="63">
        <f t="shared" si="25"/>
        <v>9958.837001851518</v>
      </c>
      <c r="Y99" s="63">
        <f t="shared" si="20"/>
        <v>3796.281652855129</v>
      </c>
      <c r="Z99" s="63">
        <f t="shared" si="21"/>
        <v>6162.5553489963895</v>
      </c>
      <c r="AA99" s="130">
        <v>37926</v>
      </c>
      <c r="AB99" s="40"/>
      <c r="AC99" s="40"/>
      <c r="AD99" s="40"/>
      <c r="AE99" s="41"/>
      <c r="AF99" s="41"/>
    </row>
    <row r="100" spans="1:32" ht="15">
      <c r="A100" s="90">
        <v>37</v>
      </c>
      <c r="B100" s="131">
        <f t="shared" si="22"/>
        <v>624346.4856150099</v>
      </c>
      <c r="C100" s="124">
        <f t="shared" si="15"/>
        <v>0.07000000000000631</v>
      </c>
      <c r="D100" s="125">
        <f t="shared" si="14"/>
        <v>0.005833333333333859</v>
      </c>
      <c r="E100" s="137">
        <v>9528.36</v>
      </c>
      <c r="F100" s="137">
        <f t="shared" si="16"/>
        <v>3642.0211660878863</v>
      </c>
      <c r="G100" s="137">
        <f t="shared" si="17"/>
        <v>5886.338833912114</v>
      </c>
      <c r="H100" s="127">
        <v>37956</v>
      </c>
      <c r="J100" s="139" t="s">
        <v>243</v>
      </c>
      <c r="K100" s="140" t="s">
        <v>244</v>
      </c>
      <c r="L100" s="128"/>
      <c r="M100" s="108"/>
      <c r="N100" s="91">
        <v>37</v>
      </c>
      <c r="O100" s="129">
        <f t="shared" si="23"/>
        <v>628853.9866614242</v>
      </c>
      <c r="P100" s="89">
        <f>RATE(P28,-Q30,Q23)</f>
        <v>0.007083333333333172</v>
      </c>
      <c r="Q100" s="63">
        <f t="shared" si="13"/>
        <v>9958.837001851518</v>
      </c>
      <c r="R100" s="63">
        <f t="shared" si="18"/>
        <v>4454.3824055183195</v>
      </c>
      <c r="S100" s="63">
        <f t="shared" si="19"/>
        <v>5504.454596333198</v>
      </c>
      <c r="T100" s="130">
        <v>37956</v>
      </c>
      <c r="U100" s="91">
        <v>37</v>
      </c>
      <c r="V100" s="129">
        <f t="shared" si="24"/>
        <v>529783.0897599786</v>
      </c>
      <c r="W100" s="89">
        <f>RATE(W28,-X30,X23)</f>
        <v>0.0070833333333331265</v>
      </c>
      <c r="X100" s="63">
        <f t="shared" si="25"/>
        <v>9958.837001851518</v>
      </c>
      <c r="Y100" s="63">
        <f t="shared" si="20"/>
        <v>3752.630219133072</v>
      </c>
      <c r="Z100" s="63">
        <f t="shared" si="21"/>
        <v>6206.2067827184455</v>
      </c>
      <c r="AA100" s="130">
        <v>37956</v>
      </c>
      <c r="AB100" s="40"/>
      <c r="AC100" s="40" t="s">
        <v>213</v>
      </c>
      <c r="AD100" s="40"/>
      <c r="AE100" s="63">
        <f>+AE94</f>
        <v>0</v>
      </c>
      <c r="AF100" s="71"/>
    </row>
    <row r="101" spans="1:32" ht="12.75">
      <c r="A101" s="90">
        <v>38</v>
      </c>
      <c r="B101" s="131">
        <f t="shared" si="22"/>
        <v>618460.1467810977</v>
      </c>
      <c r="C101" s="124">
        <f t="shared" si="15"/>
        <v>0.07000000000000631</v>
      </c>
      <c r="D101" s="125">
        <f t="shared" si="14"/>
        <v>0.005833333333333859</v>
      </c>
      <c r="E101" s="126">
        <v>9528.36</v>
      </c>
      <c r="F101" s="126">
        <f t="shared" si="16"/>
        <v>3607.6841895567286</v>
      </c>
      <c r="G101" s="126">
        <f t="shared" si="17"/>
        <v>5920.675810443272</v>
      </c>
      <c r="H101" s="127">
        <v>37987</v>
      </c>
      <c r="J101" s="117">
        <f aca="true" t="shared" si="26" ref="J101:J132">+F101/E101</f>
        <v>0.37862593243294</v>
      </c>
      <c r="K101" s="117">
        <f aca="true" t="shared" si="27" ref="K101:K132">+G101/E101</f>
        <v>0.6213740675670599</v>
      </c>
      <c r="L101" s="128"/>
      <c r="M101" s="108"/>
      <c r="N101" s="91">
        <v>38</v>
      </c>
      <c r="O101" s="129">
        <f t="shared" si="23"/>
        <v>623349.532065091</v>
      </c>
      <c r="P101" s="89">
        <f>RATE(P28,-Q30,Q23)</f>
        <v>0.007083333333333172</v>
      </c>
      <c r="Q101" s="63">
        <f t="shared" si="13"/>
        <v>9958.837001851518</v>
      </c>
      <c r="R101" s="63">
        <f t="shared" si="18"/>
        <v>4415.392518794293</v>
      </c>
      <c r="S101" s="63">
        <f t="shared" si="19"/>
        <v>5543.444483057225</v>
      </c>
      <c r="T101" s="130">
        <v>37987</v>
      </c>
      <c r="U101" s="91">
        <v>38</v>
      </c>
      <c r="V101" s="129">
        <f t="shared" si="24"/>
        <v>523576.88297726016</v>
      </c>
      <c r="W101" s="89">
        <f>RATE(W28,-X30,X23)</f>
        <v>0.0070833333333331265</v>
      </c>
      <c r="X101" s="63">
        <f t="shared" si="25"/>
        <v>9958.837001851518</v>
      </c>
      <c r="Y101" s="63">
        <f t="shared" si="20"/>
        <v>3708.6695877554844</v>
      </c>
      <c r="Z101" s="63">
        <f t="shared" si="21"/>
        <v>6250.167414096033</v>
      </c>
      <c r="AA101" s="130">
        <v>37987</v>
      </c>
      <c r="AB101" s="40"/>
      <c r="AC101" s="40" t="s">
        <v>214</v>
      </c>
      <c r="AD101" s="75">
        <v>0</v>
      </c>
      <c r="AE101" s="63">
        <f>+AE100*AD101</f>
        <v>0</v>
      </c>
      <c r="AF101" s="76"/>
    </row>
    <row r="102" spans="1:32" ht="12.75">
      <c r="A102" s="90">
        <v>39</v>
      </c>
      <c r="B102" s="131">
        <f t="shared" si="22"/>
        <v>612539.4709706545</v>
      </c>
      <c r="C102" s="124">
        <f t="shared" si="15"/>
        <v>0.07000000000000631</v>
      </c>
      <c r="D102" s="125">
        <f t="shared" si="14"/>
        <v>0.005833333333333859</v>
      </c>
      <c r="E102" s="126">
        <v>9528.36</v>
      </c>
      <c r="F102" s="126">
        <f t="shared" si="16"/>
        <v>3573.1469139958067</v>
      </c>
      <c r="G102" s="126">
        <f t="shared" si="17"/>
        <v>5955.213086004194</v>
      </c>
      <c r="H102" s="127">
        <v>38018</v>
      </c>
      <c r="J102" s="117">
        <f t="shared" si="26"/>
        <v>0.3750012503721319</v>
      </c>
      <c r="K102" s="117">
        <f t="shared" si="27"/>
        <v>0.6249987496278682</v>
      </c>
      <c r="L102" s="128"/>
      <c r="M102" s="108"/>
      <c r="N102" s="91">
        <v>39</v>
      </c>
      <c r="O102" s="129">
        <f t="shared" si="23"/>
        <v>617806.0875820337</v>
      </c>
      <c r="P102" s="89">
        <f>RATE(P28,-Q30,Q23)</f>
        <v>0.007083333333333172</v>
      </c>
      <c r="Q102" s="63">
        <f t="shared" si="13"/>
        <v>9958.837001851518</v>
      </c>
      <c r="R102" s="63">
        <f t="shared" si="18"/>
        <v>4376.126453705972</v>
      </c>
      <c r="S102" s="63">
        <f t="shared" si="19"/>
        <v>5582.7105481455455</v>
      </c>
      <c r="T102" s="130">
        <v>38018</v>
      </c>
      <c r="U102" s="91">
        <v>39</v>
      </c>
      <c r="V102" s="129">
        <f t="shared" si="24"/>
        <v>517326.71556316415</v>
      </c>
      <c r="W102" s="89">
        <f>RATE(W28,-X30,X23)</f>
        <v>0.0070833333333331265</v>
      </c>
      <c r="X102" s="63">
        <f t="shared" si="25"/>
        <v>9958.837001851518</v>
      </c>
      <c r="Y102" s="63">
        <f t="shared" si="20"/>
        <v>3664.3975685723058</v>
      </c>
      <c r="Z102" s="63">
        <f t="shared" si="21"/>
        <v>6294.439433279213</v>
      </c>
      <c r="AA102" s="130">
        <v>38018</v>
      </c>
      <c r="AB102" s="40"/>
      <c r="AC102" s="40" t="s">
        <v>215</v>
      </c>
      <c r="AD102" s="40"/>
      <c r="AE102" s="63">
        <f>+B146</f>
        <v>308294.58574207843</v>
      </c>
      <c r="AF102" s="71"/>
    </row>
    <row r="103" spans="1:32" ht="12.75">
      <c r="A103" s="90">
        <v>40</v>
      </c>
      <c r="B103" s="131">
        <f t="shared" si="22"/>
        <v>606584.2578846503</v>
      </c>
      <c r="C103" s="124">
        <f t="shared" si="15"/>
        <v>0.07000000000000631</v>
      </c>
      <c r="D103" s="125">
        <f t="shared" si="14"/>
        <v>0.005833333333333859</v>
      </c>
      <c r="E103" s="126">
        <v>9528.36</v>
      </c>
      <c r="F103" s="126">
        <f t="shared" si="16"/>
        <v>3538.408170994112</v>
      </c>
      <c r="G103" s="126">
        <f t="shared" si="17"/>
        <v>5989.951829005889</v>
      </c>
      <c r="H103" s="127">
        <v>38047</v>
      </c>
      <c r="J103" s="117">
        <f t="shared" si="26"/>
        <v>0.3713554243326356</v>
      </c>
      <c r="K103" s="117">
        <f t="shared" si="27"/>
        <v>0.6286445756673644</v>
      </c>
      <c r="L103" s="128"/>
      <c r="M103" s="108"/>
      <c r="N103" s="91">
        <v>40</v>
      </c>
      <c r="O103" s="129">
        <f t="shared" si="23"/>
        <v>612223.3770338881</v>
      </c>
      <c r="P103" s="89">
        <f>RATE(P28,-Q30,Q23)</f>
        <v>0.007083333333333172</v>
      </c>
      <c r="Q103" s="63">
        <f t="shared" si="13"/>
        <v>9958.837001851518</v>
      </c>
      <c r="R103" s="63">
        <f t="shared" si="18"/>
        <v>4336.582253989942</v>
      </c>
      <c r="S103" s="63">
        <f t="shared" si="19"/>
        <v>5622.254747861576</v>
      </c>
      <c r="T103" s="130">
        <v>38047</v>
      </c>
      <c r="U103" s="91">
        <v>40</v>
      </c>
      <c r="V103" s="129">
        <f t="shared" si="24"/>
        <v>511032.27612988494</v>
      </c>
      <c r="W103" s="89">
        <f>RATE(W28,-X30,X23)</f>
        <v>0.0070833333333331265</v>
      </c>
      <c r="X103" s="63">
        <f t="shared" si="25"/>
        <v>9958.837001851518</v>
      </c>
      <c r="Y103" s="63">
        <f t="shared" si="20"/>
        <v>3619.8119559199126</v>
      </c>
      <c r="Z103" s="63">
        <f t="shared" si="21"/>
        <v>6339.025045931605</v>
      </c>
      <c r="AA103" s="130">
        <v>38047</v>
      </c>
      <c r="AB103" s="40"/>
      <c r="AC103" s="40"/>
      <c r="AD103" s="40"/>
      <c r="AE103" s="40"/>
      <c r="AF103" s="40"/>
    </row>
    <row r="104" spans="1:32" ht="12.75">
      <c r="A104" s="90">
        <v>41</v>
      </c>
      <c r="B104" s="131">
        <f t="shared" si="22"/>
        <v>600594.3060556444</v>
      </c>
      <c r="C104" s="124">
        <f t="shared" si="15"/>
        <v>0.07000000000000631</v>
      </c>
      <c r="D104" s="125">
        <f t="shared" si="14"/>
        <v>0.005833333333333859</v>
      </c>
      <c r="E104" s="126">
        <v>9528.36</v>
      </c>
      <c r="F104" s="126">
        <f t="shared" si="16"/>
        <v>3503.4667853249084</v>
      </c>
      <c r="G104" s="126">
        <f t="shared" si="17"/>
        <v>6024.893214675092</v>
      </c>
      <c r="H104" s="127">
        <v>38078</v>
      </c>
      <c r="J104" s="117">
        <f t="shared" si="26"/>
        <v>0.3676883309745757</v>
      </c>
      <c r="K104" s="117">
        <f t="shared" si="27"/>
        <v>0.6323116690254242</v>
      </c>
      <c r="L104" s="128"/>
      <c r="M104" s="108"/>
      <c r="N104" s="91">
        <v>41</v>
      </c>
      <c r="O104" s="129">
        <f t="shared" si="23"/>
        <v>606601.1222860266</v>
      </c>
      <c r="P104" s="89">
        <f>RATE(P28,-Q30,Q23)</f>
        <v>0.007083333333333172</v>
      </c>
      <c r="Q104" s="63">
        <f t="shared" si="13"/>
        <v>9958.837001851518</v>
      </c>
      <c r="R104" s="63">
        <f t="shared" si="18"/>
        <v>4296.757949525923</v>
      </c>
      <c r="S104" s="63">
        <f t="shared" si="19"/>
        <v>5662.079052325595</v>
      </c>
      <c r="T104" s="130">
        <v>38078</v>
      </c>
      <c r="U104" s="91">
        <v>41</v>
      </c>
      <c r="V104" s="129">
        <f t="shared" si="24"/>
        <v>504693.2510839533</v>
      </c>
      <c r="W104" s="89">
        <f>RATE(W28,-X30,X23)</f>
        <v>0.0070833333333331265</v>
      </c>
      <c r="X104" s="63">
        <f t="shared" si="25"/>
        <v>9958.837001851518</v>
      </c>
      <c r="Y104" s="63">
        <f t="shared" si="20"/>
        <v>3574.9105285112314</v>
      </c>
      <c r="Z104" s="63">
        <f t="shared" si="21"/>
        <v>6383.926473340287</v>
      </c>
      <c r="AA104" s="130">
        <v>38078</v>
      </c>
      <c r="AB104" s="40"/>
      <c r="AC104" s="40" t="s">
        <v>216</v>
      </c>
      <c r="AD104" s="141">
        <v>0.07565</v>
      </c>
      <c r="AE104" s="40"/>
      <c r="AF104" s="40"/>
    </row>
    <row r="105" spans="1:32" ht="12.75">
      <c r="A105" s="90">
        <v>42</v>
      </c>
      <c r="B105" s="131">
        <f t="shared" si="22"/>
        <v>594569.4128409693</v>
      </c>
      <c r="C105" s="124">
        <f t="shared" si="15"/>
        <v>0.07000000000000631</v>
      </c>
      <c r="D105" s="125">
        <f t="shared" si="14"/>
        <v>0.005833333333333859</v>
      </c>
      <c r="E105" s="126">
        <v>9528.36</v>
      </c>
      <c r="F105" s="126">
        <f t="shared" si="16"/>
        <v>3468.321574905967</v>
      </c>
      <c r="G105" s="126">
        <f t="shared" si="17"/>
        <v>6060.038425094033</v>
      </c>
      <c r="H105" s="127">
        <v>38108</v>
      </c>
      <c r="J105" s="117">
        <f t="shared" si="26"/>
        <v>0.3639998462385937</v>
      </c>
      <c r="K105" s="117">
        <f t="shared" si="27"/>
        <v>0.6360001537614063</v>
      </c>
      <c r="L105" s="128"/>
      <c r="M105" s="108"/>
      <c r="N105" s="91">
        <v>42</v>
      </c>
      <c r="O105" s="129">
        <f t="shared" si="23"/>
        <v>600939.043233701</v>
      </c>
      <c r="P105" s="89">
        <f>RATE(P28,-Q30,Q23)</f>
        <v>0.007083333333333172</v>
      </c>
      <c r="Q105" s="63">
        <f t="shared" si="13"/>
        <v>9958.837001851518</v>
      </c>
      <c r="R105" s="63">
        <f t="shared" si="18"/>
        <v>4256.6515562386185</v>
      </c>
      <c r="S105" s="63">
        <f t="shared" si="19"/>
        <v>5702.1854456128995</v>
      </c>
      <c r="T105" s="130">
        <v>38108</v>
      </c>
      <c r="U105" s="91">
        <v>42</v>
      </c>
      <c r="V105" s="129">
        <f t="shared" si="24"/>
        <v>498309.324610613</v>
      </c>
      <c r="W105" s="89">
        <f>RATE(W28,-X30,X23)</f>
        <v>0.0070833333333331265</v>
      </c>
      <c r="X105" s="63">
        <f t="shared" si="25"/>
        <v>9958.837001851518</v>
      </c>
      <c r="Y105" s="63">
        <f t="shared" si="20"/>
        <v>3529.6910493250725</v>
      </c>
      <c r="Z105" s="63">
        <f t="shared" si="21"/>
        <v>6429.145952526445</v>
      </c>
      <c r="AA105" s="130">
        <v>38108</v>
      </c>
      <c r="AB105" s="40"/>
      <c r="AC105" s="40" t="s">
        <v>217</v>
      </c>
      <c r="AD105" s="87">
        <f>+RATE(AD107,-AE109,AE102)</f>
        <v>0.00630416666666595</v>
      </c>
      <c r="AE105" s="88"/>
      <c r="AF105" s="40"/>
    </row>
    <row r="106" spans="1:32" ht="12.75">
      <c r="A106" s="90">
        <v>43</v>
      </c>
      <c r="B106" s="131">
        <f t="shared" si="22"/>
        <v>588509.3744158753</v>
      </c>
      <c r="C106" s="124">
        <f t="shared" si="15"/>
        <v>0.07000000000000631</v>
      </c>
      <c r="D106" s="125">
        <f t="shared" si="14"/>
        <v>0.005833333333333859</v>
      </c>
      <c r="E106" s="126">
        <v>9528.36</v>
      </c>
      <c r="F106" s="126">
        <f t="shared" si="16"/>
        <v>3432.971350759582</v>
      </c>
      <c r="G106" s="126">
        <f t="shared" si="17"/>
        <v>6095.388649240418</v>
      </c>
      <c r="H106" s="127">
        <v>38139</v>
      </c>
      <c r="J106" s="117">
        <f t="shared" si="26"/>
        <v>0.36028984534165187</v>
      </c>
      <c r="K106" s="117">
        <f t="shared" si="27"/>
        <v>0.6397101546583481</v>
      </c>
      <c r="L106" s="128"/>
      <c r="M106" s="108"/>
      <c r="N106" s="91">
        <v>43</v>
      </c>
      <c r="O106" s="129">
        <f t="shared" si="23"/>
        <v>595236.8577880881</v>
      </c>
      <c r="P106" s="89">
        <f>RATE(P28,-Q30,Q23)</f>
        <v>0.007083333333333172</v>
      </c>
      <c r="Q106" s="63">
        <f t="shared" si="13"/>
        <v>9958.837001851518</v>
      </c>
      <c r="R106" s="63">
        <f t="shared" si="18"/>
        <v>4216.261075998861</v>
      </c>
      <c r="S106" s="63">
        <f t="shared" si="19"/>
        <v>5742.575925852657</v>
      </c>
      <c r="T106" s="130">
        <v>38139</v>
      </c>
      <c r="U106" s="91">
        <v>43</v>
      </c>
      <c r="V106" s="129">
        <f t="shared" si="24"/>
        <v>491880.1786580866</v>
      </c>
      <c r="W106" s="89">
        <f>RATE(W28,-X30,X23)</f>
        <v>0.0070833333333331265</v>
      </c>
      <c r="X106" s="63">
        <f t="shared" si="25"/>
        <v>9958.837001851518</v>
      </c>
      <c r="Y106" s="63">
        <f t="shared" si="20"/>
        <v>3484.1512654946782</v>
      </c>
      <c r="Z106" s="63">
        <f t="shared" si="21"/>
        <v>6474.68573635684</v>
      </c>
      <c r="AA106" s="130">
        <v>38139</v>
      </c>
      <c r="AB106" s="40"/>
      <c r="AC106" s="40" t="s">
        <v>218</v>
      </c>
      <c r="AD106" s="91"/>
      <c r="AE106" s="40"/>
      <c r="AF106" s="40"/>
    </row>
    <row r="107" spans="1:32" ht="12.75">
      <c r="A107" s="90">
        <v>44</v>
      </c>
      <c r="B107" s="131">
        <f t="shared" si="22"/>
        <v>582413.9857666349</v>
      </c>
      <c r="C107" s="124">
        <f t="shared" si="15"/>
        <v>0.07000000000000631</v>
      </c>
      <c r="D107" s="125">
        <f t="shared" si="14"/>
        <v>0.005833333333333859</v>
      </c>
      <c r="E107" s="126">
        <v>9528.36</v>
      </c>
      <c r="F107" s="126">
        <f t="shared" si="16"/>
        <v>3397.4149169723432</v>
      </c>
      <c r="G107" s="126">
        <f t="shared" si="17"/>
        <v>6130.945083027657</v>
      </c>
      <c r="H107" s="127">
        <v>38169</v>
      </c>
      <c r="J107" s="117">
        <f t="shared" si="26"/>
        <v>0.3565582027728112</v>
      </c>
      <c r="K107" s="117">
        <f t="shared" si="27"/>
        <v>0.6434417972271889</v>
      </c>
      <c r="L107" s="128"/>
      <c r="M107" s="108"/>
      <c r="N107" s="91">
        <v>44</v>
      </c>
      <c r="O107" s="129">
        <f t="shared" si="23"/>
        <v>589494.2818622355</v>
      </c>
      <c r="P107" s="89">
        <f>RATE(P28,-Q30,Q23)</f>
        <v>0.007083333333333172</v>
      </c>
      <c r="Q107" s="63">
        <f t="shared" si="13"/>
        <v>9958.837001851518</v>
      </c>
      <c r="R107" s="63">
        <f t="shared" si="18"/>
        <v>4175.584496524073</v>
      </c>
      <c r="S107" s="63">
        <f t="shared" si="19"/>
        <v>5783.252505327445</v>
      </c>
      <c r="T107" s="130">
        <v>38169</v>
      </c>
      <c r="U107" s="91">
        <v>44</v>
      </c>
      <c r="V107" s="129">
        <f t="shared" si="24"/>
        <v>485405.49292172975</v>
      </c>
      <c r="W107" s="89">
        <f>RATE(W28,-X30,X23)</f>
        <v>0.0070833333333331265</v>
      </c>
      <c r="X107" s="63">
        <f t="shared" si="25"/>
        <v>9958.837001851518</v>
      </c>
      <c r="Y107" s="63">
        <f t="shared" si="20"/>
        <v>3438.2889081954854</v>
      </c>
      <c r="Z107" s="63">
        <f t="shared" si="21"/>
        <v>6520.5480936560325</v>
      </c>
      <c r="AA107" s="130">
        <v>38169</v>
      </c>
      <c r="AB107" s="40"/>
      <c r="AC107" s="40" t="s">
        <v>219</v>
      </c>
      <c r="AD107" s="91">
        <v>38</v>
      </c>
      <c r="AE107" s="40"/>
      <c r="AF107" s="40"/>
    </row>
    <row r="108" spans="1:32" ht="12.75">
      <c r="A108" s="90">
        <v>45</v>
      </c>
      <c r="B108" s="131">
        <f t="shared" si="22"/>
        <v>576283.0406836072</v>
      </c>
      <c r="C108" s="124">
        <f t="shared" si="15"/>
        <v>0.07000000000000631</v>
      </c>
      <c r="D108" s="125">
        <f t="shared" si="14"/>
        <v>0.005833333333333859</v>
      </c>
      <c r="E108" s="126">
        <v>9528.36</v>
      </c>
      <c r="F108" s="126">
        <f t="shared" si="16"/>
        <v>3361.6510706546787</v>
      </c>
      <c r="G108" s="126">
        <f t="shared" si="17"/>
        <v>6166.708929345322</v>
      </c>
      <c r="H108" s="127">
        <v>38200</v>
      </c>
      <c r="J108" s="117">
        <f t="shared" si="26"/>
        <v>0.3528047922889856</v>
      </c>
      <c r="K108" s="117">
        <f t="shared" si="27"/>
        <v>0.6471952077110145</v>
      </c>
      <c r="L108" s="128"/>
      <c r="M108" s="108"/>
      <c r="N108" s="91">
        <v>45</v>
      </c>
      <c r="O108" s="129">
        <f t="shared" si="23"/>
        <v>583711.029356908</v>
      </c>
      <c r="P108" s="89">
        <f>RATE(P28,-Q30,Q23)</f>
        <v>0.007083333333333172</v>
      </c>
      <c r="Q108" s="63">
        <f t="shared" si="13"/>
        <v>9958.837001851518</v>
      </c>
      <c r="R108" s="63">
        <f t="shared" si="18"/>
        <v>4134.619791278004</v>
      </c>
      <c r="S108" s="63">
        <f t="shared" si="19"/>
        <v>5824.2172105735135</v>
      </c>
      <c r="T108" s="130">
        <v>38200</v>
      </c>
      <c r="U108" s="91">
        <v>45</v>
      </c>
      <c r="V108" s="129">
        <f t="shared" si="24"/>
        <v>478884.9448280737</v>
      </c>
      <c r="W108" s="89">
        <f>RATE(W28,-X30,X23)</f>
        <v>0.0070833333333331265</v>
      </c>
      <c r="X108" s="63">
        <f t="shared" si="25"/>
        <v>9958.837001851518</v>
      </c>
      <c r="Y108" s="63">
        <f t="shared" si="20"/>
        <v>3392.10169253209</v>
      </c>
      <c r="Z108" s="63">
        <f t="shared" si="21"/>
        <v>6566.735309319428</v>
      </c>
      <c r="AA108" s="130">
        <v>38200</v>
      </c>
      <c r="AB108" s="40"/>
      <c r="AC108" s="40" t="s">
        <v>220</v>
      </c>
      <c r="AD108" s="95"/>
      <c r="AE108" s="63">
        <f>+AE109*12</f>
        <v>109787.67038743643</v>
      </c>
      <c r="AF108" s="96"/>
    </row>
    <row r="109" spans="1:33" ht="15.75">
      <c r="A109" s="90">
        <v>46</v>
      </c>
      <c r="B109" s="131">
        <f t="shared" si="22"/>
        <v>570116.3317542619</v>
      </c>
      <c r="C109" s="124">
        <f t="shared" si="15"/>
        <v>0.07000000000000631</v>
      </c>
      <c r="D109" s="125">
        <f t="shared" si="14"/>
        <v>0.005833333333333859</v>
      </c>
      <c r="E109" s="126">
        <v>9528.36</v>
      </c>
      <c r="F109" s="126">
        <f t="shared" si="16"/>
        <v>3325.6786019001606</v>
      </c>
      <c r="G109" s="126">
        <f t="shared" si="17"/>
        <v>6202.6813980998395</v>
      </c>
      <c r="H109" s="127">
        <v>38231</v>
      </c>
      <c r="J109" s="117">
        <f t="shared" si="26"/>
        <v>0.3490294869106709</v>
      </c>
      <c r="K109" s="117">
        <f t="shared" si="27"/>
        <v>0.6509705130893291</v>
      </c>
      <c r="L109" s="128"/>
      <c r="M109" s="108"/>
      <c r="N109" s="91">
        <v>46</v>
      </c>
      <c r="O109" s="129">
        <f t="shared" si="23"/>
        <v>577886.8121463346</v>
      </c>
      <c r="P109" s="89">
        <f>RATE(P28,-Q30,Q23)</f>
        <v>0.007083333333333172</v>
      </c>
      <c r="Q109" s="63">
        <f t="shared" si="13"/>
        <v>9958.837001851518</v>
      </c>
      <c r="R109" s="63">
        <f t="shared" si="18"/>
        <v>4093.3649193697765</v>
      </c>
      <c r="S109" s="63">
        <f t="shared" si="19"/>
        <v>5865.472082481741</v>
      </c>
      <c r="T109" s="130">
        <v>38231</v>
      </c>
      <c r="U109" s="91">
        <v>46</v>
      </c>
      <c r="V109" s="129">
        <f t="shared" si="24"/>
        <v>472318.2095187543</v>
      </c>
      <c r="W109" s="89">
        <f>RATE(W28,-X30,X23)</f>
        <v>0.0070833333333331265</v>
      </c>
      <c r="X109" s="63">
        <f t="shared" si="25"/>
        <v>9958.837001851518</v>
      </c>
      <c r="Y109" s="63">
        <f t="shared" si="20"/>
        <v>3345.5873174244116</v>
      </c>
      <c r="Z109" s="63">
        <f t="shared" si="21"/>
        <v>6613.249684427106</v>
      </c>
      <c r="AA109" s="130">
        <v>38231</v>
      </c>
      <c r="AB109" s="40"/>
      <c r="AC109" s="40" t="s">
        <v>221</v>
      </c>
      <c r="AD109" s="40"/>
      <c r="AE109" s="101">
        <f>+PMT(AD104/12,AD107,AE102)*-1</f>
        <v>9148.972532286369</v>
      </c>
      <c r="AF109" s="102"/>
      <c r="AG109" s="36">
        <f>PMT(4.9%/12,66,520717.11,,1)*-1</f>
        <v>8979.811194885002</v>
      </c>
    </row>
    <row r="110" spans="1:32" ht="12.75">
      <c r="A110" s="90">
        <v>47</v>
      </c>
      <c r="B110" s="131">
        <f t="shared" si="22"/>
        <v>563913.650356162</v>
      </c>
      <c r="C110" s="124">
        <f t="shared" si="15"/>
        <v>0.07000000000000631</v>
      </c>
      <c r="D110" s="125">
        <f t="shared" si="14"/>
        <v>0.005833333333333859</v>
      </c>
      <c r="E110" s="126">
        <v>9528.36</v>
      </c>
      <c r="F110" s="126">
        <f t="shared" si="16"/>
        <v>3289.496293744575</v>
      </c>
      <c r="G110" s="126">
        <f t="shared" si="17"/>
        <v>6238.863706255426</v>
      </c>
      <c r="H110" s="127">
        <v>38261</v>
      </c>
      <c r="J110" s="117">
        <f t="shared" si="26"/>
        <v>0.34523215891764947</v>
      </c>
      <c r="K110" s="117">
        <f t="shared" si="27"/>
        <v>0.6547678410823505</v>
      </c>
      <c r="L110" s="128"/>
      <c r="M110" s="108"/>
      <c r="N110" s="91">
        <v>47</v>
      </c>
      <c r="O110" s="129">
        <f t="shared" si="23"/>
        <v>572021.3400638528</v>
      </c>
      <c r="P110" s="89">
        <f>RATE(P28,-Q30,Q23)</f>
        <v>0.007083333333333172</v>
      </c>
      <c r="Q110" s="63">
        <f t="shared" si="13"/>
        <v>9958.837001851518</v>
      </c>
      <c r="R110" s="63">
        <f t="shared" si="18"/>
        <v>4051.8178254521986</v>
      </c>
      <c r="S110" s="63">
        <f t="shared" si="19"/>
        <v>5907.019176399319</v>
      </c>
      <c r="T110" s="130">
        <v>38261</v>
      </c>
      <c r="U110" s="91">
        <v>47</v>
      </c>
      <c r="V110" s="129">
        <f t="shared" si="24"/>
        <v>465704.95983432716</v>
      </c>
      <c r="W110" s="89">
        <f>RATE(W28,-X30,X23)</f>
        <v>0.0070833333333331265</v>
      </c>
      <c r="X110" s="63">
        <f t="shared" si="25"/>
        <v>9958.837001851518</v>
      </c>
      <c r="Y110" s="63">
        <f t="shared" si="20"/>
        <v>3298.7434654930544</v>
      </c>
      <c r="Z110" s="63">
        <f t="shared" si="21"/>
        <v>6660.093536358463</v>
      </c>
      <c r="AA110" s="130">
        <v>38261</v>
      </c>
      <c r="AB110" s="40"/>
      <c r="AC110" s="106"/>
      <c r="AD110" s="40"/>
      <c r="AE110" s="63"/>
      <c r="AF110" s="96"/>
    </row>
    <row r="111" spans="1:32" ht="12.75">
      <c r="A111" s="90">
        <v>48</v>
      </c>
      <c r="B111" s="131">
        <f t="shared" si="22"/>
        <v>557674.7866499065</v>
      </c>
      <c r="C111" s="124">
        <f t="shared" si="15"/>
        <v>0.07000000000000631</v>
      </c>
      <c r="D111" s="125">
        <f t="shared" si="14"/>
        <v>0.005833333333333859</v>
      </c>
      <c r="E111" s="126">
        <v>9528.36</v>
      </c>
      <c r="F111" s="126">
        <f t="shared" si="16"/>
        <v>3253.102922124748</v>
      </c>
      <c r="G111" s="126">
        <f t="shared" si="17"/>
        <v>6275.257077875252</v>
      </c>
      <c r="H111" s="127">
        <v>38292</v>
      </c>
      <c r="J111" s="117">
        <f t="shared" si="26"/>
        <v>0.3414126798446688</v>
      </c>
      <c r="K111" s="117">
        <f t="shared" si="27"/>
        <v>0.6585873201553313</v>
      </c>
      <c r="L111" s="128"/>
      <c r="M111" s="108"/>
      <c r="N111" s="91">
        <v>48</v>
      </c>
      <c r="O111" s="129">
        <f t="shared" si="23"/>
        <v>566114.3208874535</v>
      </c>
      <c r="P111" s="89">
        <f>RATE(P28,-Q30,Q23)</f>
        <v>0.007083333333333172</v>
      </c>
      <c r="Q111" s="63">
        <f t="shared" si="13"/>
        <v>9958.837001851518</v>
      </c>
      <c r="R111" s="63">
        <f t="shared" si="18"/>
        <v>4009.976439619371</v>
      </c>
      <c r="S111" s="63">
        <f t="shared" si="19"/>
        <v>5948.860562232147</v>
      </c>
      <c r="T111" s="130">
        <v>38292</v>
      </c>
      <c r="U111" s="91">
        <v>48</v>
      </c>
      <c r="V111" s="129">
        <f t="shared" si="24"/>
        <v>459044.8662979687</v>
      </c>
      <c r="W111" s="89">
        <f>RATE(W28,-X30,X23)</f>
        <v>0.0070833333333331265</v>
      </c>
      <c r="X111" s="63">
        <f t="shared" si="25"/>
        <v>9958.837001851518</v>
      </c>
      <c r="Y111" s="63">
        <f t="shared" si="20"/>
        <v>3251.56780294385</v>
      </c>
      <c r="Z111" s="63">
        <f t="shared" si="21"/>
        <v>6707.269198907668</v>
      </c>
      <c r="AA111" s="130">
        <v>38292</v>
      </c>
      <c r="AB111" s="40"/>
      <c r="AC111" s="40" t="s">
        <v>223</v>
      </c>
      <c r="AD111" s="40"/>
      <c r="AE111" s="63">
        <f>+AE109*AD107</f>
        <v>347660.956226882</v>
      </c>
      <c r="AF111" s="67"/>
    </row>
    <row r="112" spans="1:32" ht="12.75">
      <c r="A112" s="90">
        <v>49</v>
      </c>
      <c r="B112" s="131">
        <f t="shared" si="22"/>
        <v>551399.5295720313</v>
      </c>
      <c r="C112" s="124">
        <f t="shared" si="15"/>
        <v>0.07000000000000631</v>
      </c>
      <c r="D112" s="125">
        <f t="shared" si="14"/>
        <v>0.005833333333333859</v>
      </c>
      <c r="E112" s="126">
        <v>9528.36</v>
      </c>
      <c r="F112" s="126">
        <f t="shared" si="16"/>
        <v>3216.4972558371396</v>
      </c>
      <c r="G112" s="126">
        <f t="shared" si="17"/>
        <v>6311.862744162861</v>
      </c>
      <c r="H112" s="127">
        <v>38322</v>
      </c>
      <c r="J112" s="117">
        <f t="shared" si="26"/>
        <v>0.3375709204770957</v>
      </c>
      <c r="K112" s="117">
        <f t="shared" si="27"/>
        <v>0.6624290795229044</v>
      </c>
      <c r="L112" s="128"/>
      <c r="M112" s="108"/>
      <c r="N112" s="91">
        <v>49</v>
      </c>
      <c r="O112" s="129">
        <f t="shared" si="23"/>
        <v>560165.4603252214</v>
      </c>
      <c r="P112" s="89">
        <f>RATE(P28,-Q30,Q23)</f>
        <v>0.007083333333333172</v>
      </c>
      <c r="Q112" s="63">
        <f t="shared" si="13"/>
        <v>9958.837001851518</v>
      </c>
      <c r="R112" s="63">
        <f t="shared" si="18"/>
        <v>3967.8386773035613</v>
      </c>
      <c r="S112" s="63">
        <f t="shared" si="19"/>
        <v>5990.998324547956</v>
      </c>
      <c r="T112" s="130">
        <v>38322</v>
      </c>
      <c r="U112" s="91">
        <v>49</v>
      </c>
      <c r="V112" s="129">
        <f t="shared" si="24"/>
        <v>452337.59709906107</v>
      </c>
      <c r="W112" s="89">
        <f>RATE(W28,-X30,X23)</f>
        <v>0.0070833333333331265</v>
      </c>
      <c r="X112" s="63">
        <f t="shared" si="25"/>
        <v>9958.837001851518</v>
      </c>
      <c r="Y112" s="63">
        <f t="shared" si="20"/>
        <v>3204.057979451589</v>
      </c>
      <c r="Z112" s="63">
        <f t="shared" si="21"/>
        <v>6754.779022399929</v>
      </c>
      <c r="AA112" s="130">
        <v>38322</v>
      </c>
      <c r="AB112" s="40"/>
      <c r="AC112" s="40" t="s">
        <v>224</v>
      </c>
      <c r="AD112" s="80">
        <v>0.01</v>
      </c>
      <c r="AE112" s="63">
        <f>+AE100*AD112</f>
        <v>0</v>
      </c>
      <c r="AF112" s="102"/>
    </row>
    <row r="113" spans="1:32" ht="12.75">
      <c r="A113" s="90">
        <v>50</v>
      </c>
      <c r="B113" s="131">
        <f t="shared" si="22"/>
        <v>545087.6668278684</v>
      </c>
      <c r="C113" s="124">
        <f t="shared" si="15"/>
        <v>0.07000000000000631</v>
      </c>
      <c r="D113" s="125">
        <f t="shared" si="14"/>
        <v>0.005833333333333859</v>
      </c>
      <c r="E113" s="126">
        <v>9528.36</v>
      </c>
      <c r="F113" s="126">
        <f t="shared" si="16"/>
        <v>3179.678056496186</v>
      </c>
      <c r="G113" s="126">
        <f t="shared" si="17"/>
        <v>6348.681943503814</v>
      </c>
      <c r="H113" s="127">
        <v>38353</v>
      </c>
      <c r="J113" s="117">
        <f t="shared" si="26"/>
        <v>0.333706750846545</v>
      </c>
      <c r="K113" s="117">
        <f t="shared" si="27"/>
        <v>0.6662932491534549</v>
      </c>
      <c r="L113" s="128"/>
      <c r="M113" s="108"/>
      <c r="N113" s="91">
        <v>50</v>
      </c>
      <c r="O113" s="129">
        <f t="shared" si="23"/>
        <v>554174.4620006734</v>
      </c>
      <c r="P113" s="89">
        <f>RATE(P28,-Q30,Q23)</f>
        <v>0.007083333333333172</v>
      </c>
      <c r="Q113" s="63">
        <f t="shared" si="13"/>
        <v>9958.837001851518</v>
      </c>
      <c r="R113" s="63">
        <f t="shared" si="18"/>
        <v>3925.402439171347</v>
      </c>
      <c r="S113" s="63">
        <f t="shared" si="19"/>
        <v>6033.434562680171</v>
      </c>
      <c r="T113" s="130">
        <v>38353</v>
      </c>
      <c r="U113" s="91">
        <v>50</v>
      </c>
      <c r="V113" s="129">
        <f t="shared" si="24"/>
        <v>445582.81807666115</v>
      </c>
      <c r="W113" s="89">
        <f>RATE(W28,-X30,X23)</f>
        <v>0.0070833333333331265</v>
      </c>
      <c r="X113" s="63">
        <f t="shared" si="25"/>
        <v>9958.837001851518</v>
      </c>
      <c r="Y113" s="63">
        <f t="shared" si="20"/>
        <v>3156.2116280429245</v>
      </c>
      <c r="Z113" s="63">
        <f t="shared" si="21"/>
        <v>6802.625373808593</v>
      </c>
      <c r="AA113" s="130">
        <v>38353</v>
      </c>
      <c r="AB113" s="40"/>
      <c r="AC113" s="40" t="s">
        <v>225</v>
      </c>
      <c r="AD113" s="40"/>
      <c r="AE113" s="63">
        <f>+AE109*1-0.13</f>
        <v>9148.84253228637</v>
      </c>
      <c r="AF113" s="67"/>
    </row>
    <row r="114" spans="1:32" ht="12.75">
      <c r="A114" s="90">
        <v>51</v>
      </c>
      <c r="B114" s="131">
        <f t="shared" si="22"/>
        <v>538738.9848843646</v>
      </c>
      <c r="C114" s="124">
        <f t="shared" si="15"/>
        <v>0.07000000000000631</v>
      </c>
      <c r="D114" s="125">
        <f t="shared" si="14"/>
        <v>0.005833333333333859</v>
      </c>
      <c r="E114" s="126">
        <v>9528.36</v>
      </c>
      <c r="F114" s="126">
        <f t="shared" si="16"/>
        <v>3142.6440784924102</v>
      </c>
      <c r="G114" s="126">
        <f t="shared" si="17"/>
        <v>6385.71592150759</v>
      </c>
      <c r="H114" s="127">
        <v>38384</v>
      </c>
      <c r="J114" s="117">
        <f t="shared" si="26"/>
        <v>0.32982004022648287</v>
      </c>
      <c r="K114" s="117">
        <f t="shared" si="27"/>
        <v>0.6701799597735171</v>
      </c>
      <c r="L114" s="128"/>
      <c r="M114" s="108"/>
      <c r="N114" s="91">
        <v>51</v>
      </c>
      <c r="O114" s="129">
        <f t="shared" si="23"/>
        <v>548141.0274379932</v>
      </c>
      <c r="P114" s="89">
        <f>RATE(P28,-Q30,Q23)</f>
        <v>0.007083333333333172</v>
      </c>
      <c r="Q114" s="63">
        <f aca="true" t="shared" si="28" ref="Q114:Q145">+Q113</f>
        <v>9958.837001851518</v>
      </c>
      <c r="R114" s="63">
        <f t="shared" si="18"/>
        <v>3882.6656110190297</v>
      </c>
      <c r="S114" s="63">
        <f t="shared" si="19"/>
        <v>6076.171390832488</v>
      </c>
      <c r="T114" s="130">
        <v>38384</v>
      </c>
      <c r="U114" s="91">
        <v>51</v>
      </c>
      <c r="V114" s="129">
        <f t="shared" si="24"/>
        <v>438780.19270285254</v>
      </c>
      <c r="W114" s="89">
        <f>RATE(W28,-X30,X23)</f>
        <v>0.0070833333333331265</v>
      </c>
      <c r="X114" s="63">
        <f t="shared" si="25"/>
        <v>9958.837001851518</v>
      </c>
      <c r="Y114" s="63">
        <f t="shared" si="20"/>
        <v>3108.026364978448</v>
      </c>
      <c r="Z114" s="63">
        <f t="shared" si="21"/>
        <v>6850.81063687307</v>
      </c>
      <c r="AA114" s="130">
        <v>38384</v>
      </c>
      <c r="AB114" s="40"/>
      <c r="AC114" s="106" t="s">
        <v>226</v>
      </c>
      <c r="AD114" s="40"/>
      <c r="AE114" s="63"/>
      <c r="AF114" s="67"/>
    </row>
    <row r="115" spans="1:32" ht="12.75">
      <c r="A115" s="90">
        <v>52</v>
      </c>
      <c r="B115" s="131">
        <f t="shared" si="22"/>
        <v>532353.2689628571</v>
      </c>
      <c r="C115" s="124">
        <f t="shared" si="15"/>
        <v>0.07000000000000631</v>
      </c>
      <c r="D115" s="125">
        <f t="shared" si="14"/>
        <v>0.005833333333333859</v>
      </c>
      <c r="E115" s="126">
        <v>9528.36</v>
      </c>
      <c r="F115" s="126">
        <f t="shared" si="16"/>
        <v>3105.3940689502797</v>
      </c>
      <c r="G115" s="126">
        <f t="shared" si="17"/>
        <v>6422.965931049721</v>
      </c>
      <c r="H115" s="127">
        <v>38412</v>
      </c>
      <c r="J115" s="117">
        <f t="shared" si="26"/>
        <v>0.3259106571278037</v>
      </c>
      <c r="K115" s="117">
        <f t="shared" si="27"/>
        <v>0.6740893428721964</v>
      </c>
      <c r="L115" s="128"/>
      <c r="M115" s="108"/>
      <c r="N115" s="91">
        <v>52</v>
      </c>
      <c r="O115" s="129">
        <f t="shared" si="23"/>
        <v>542064.8560471607</v>
      </c>
      <c r="P115" s="89">
        <f>RATE(P28,-Q30,Q23)</f>
        <v>0.007083333333333172</v>
      </c>
      <c r="Q115" s="63">
        <f t="shared" si="28"/>
        <v>9958.837001851518</v>
      </c>
      <c r="R115" s="63">
        <f t="shared" si="18"/>
        <v>3839.6260636673005</v>
      </c>
      <c r="S115" s="63">
        <f t="shared" si="19"/>
        <v>6119.210938184217</v>
      </c>
      <c r="T115" s="130">
        <v>38412</v>
      </c>
      <c r="U115" s="91">
        <v>52</v>
      </c>
      <c r="V115" s="129">
        <f t="shared" si="24"/>
        <v>431929.3820659795</v>
      </c>
      <c r="W115" s="89">
        <f>RATE(W28,-X30,X23)</f>
        <v>0.0070833333333331265</v>
      </c>
      <c r="X115" s="63">
        <f t="shared" si="25"/>
        <v>9958.837001851518</v>
      </c>
      <c r="Y115" s="63">
        <f t="shared" si="20"/>
        <v>3059.499789633932</v>
      </c>
      <c r="Z115" s="63">
        <f t="shared" si="21"/>
        <v>6899.337212217586</v>
      </c>
      <c r="AA115" s="130">
        <v>38412</v>
      </c>
      <c r="AB115" s="40"/>
      <c r="AC115" s="40" t="s">
        <v>213</v>
      </c>
      <c r="AD115" s="40"/>
      <c r="AE115" s="63">
        <f>+AE101+AE111+AE112+AE113</f>
        <v>356809.79875916836</v>
      </c>
      <c r="AF115" s="67"/>
    </row>
    <row r="116" spans="1:32" ht="12.75">
      <c r="A116" s="90">
        <v>53</v>
      </c>
      <c r="B116" s="131">
        <f t="shared" si="22"/>
        <v>525930.3030318074</v>
      </c>
      <c r="C116" s="124">
        <f t="shared" si="15"/>
        <v>0.07000000000000631</v>
      </c>
      <c r="D116" s="125">
        <f t="shared" si="14"/>
        <v>0.005833333333333859</v>
      </c>
      <c r="E116" s="126">
        <v>9528.36</v>
      </c>
      <c r="F116" s="126">
        <f t="shared" si="16"/>
        <v>3067.92676768582</v>
      </c>
      <c r="G116" s="126">
        <f t="shared" si="17"/>
        <v>6460.433232314181</v>
      </c>
      <c r="H116" s="127">
        <v>38443</v>
      </c>
      <c r="J116" s="117">
        <f t="shared" si="26"/>
        <v>0.32197846929438223</v>
      </c>
      <c r="K116" s="117">
        <f t="shared" si="27"/>
        <v>0.6780215307056178</v>
      </c>
      <c r="L116" s="128"/>
      <c r="M116" s="108"/>
      <c r="N116" s="91">
        <v>53</v>
      </c>
      <c r="O116" s="129">
        <f t="shared" si="23"/>
        <v>535945.6451089765</v>
      </c>
      <c r="P116" s="89">
        <f>RATE(P28,-Q30,Q23)</f>
        <v>0.007083333333333172</v>
      </c>
      <c r="Q116" s="63">
        <f t="shared" si="28"/>
        <v>9958.837001851518</v>
      </c>
      <c r="R116" s="63">
        <f t="shared" si="18"/>
        <v>3796.281652855164</v>
      </c>
      <c r="S116" s="63">
        <f t="shared" si="19"/>
        <v>6162.555348996354</v>
      </c>
      <c r="T116" s="130">
        <v>38443</v>
      </c>
      <c r="U116" s="91">
        <v>53</v>
      </c>
      <c r="V116" s="129">
        <f t="shared" si="24"/>
        <v>425030.0448537619</v>
      </c>
      <c r="W116" s="89">
        <f>RATE(W28,-X30,X23)</f>
        <v>0.0070833333333331265</v>
      </c>
      <c r="X116" s="63">
        <f t="shared" si="25"/>
        <v>9958.837001851518</v>
      </c>
      <c r="Y116" s="63">
        <f t="shared" si="20"/>
        <v>3010.6294843807254</v>
      </c>
      <c r="Z116" s="63">
        <f t="shared" si="21"/>
        <v>6948.2075174707925</v>
      </c>
      <c r="AA116" s="130">
        <v>38443</v>
      </c>
      <c r="AB116" s="40"/>
      <c r="AC116" s="40"/>
      <c r="AD116" s="40"/>
      <c r="AE116" s="63"/>
      <c r="AF116" s="96"/>
    </row>
    <row r="117" spans="1:32" ht="12.75">
      <c r="A117" s="90">
        <v>54</v>
      </c>
      <c r="B117" s="131">
        <f t="shared" si="22"/>
        <v>519469.86979949323</v>
      </c>
      <c r="C117" s="124">
        <f t="shared" si="15"/>
        <v>0.07000000000000631</v>
      </c>
      <c r="D117" s="125">
        <f t="shared" si="14"/>
        <v>0.005833333333333859</v>
      </c>
      <c r="E117" s="126">
        <v>9528.36</v>
      </c>
      <c r="F117" s="126">
        <f t="shared" si="16"/>
        <v>3030.2409071639836</v>
      </c>
      <c r="G117" s="126">
        <f t="shared" si="17"/>
        <v>6498.119092836017</v>
      </c>
      <c r="H117" s="127">
        <v>38473</v>
      </c>
      <c r="J117" s="117">
        <f t="shared" si="26"/>
        <v>0.3180233436985991</v>
      </c>
      <c r="K117" s="117">
        <f t="shared" si="27"/>
        <v>0.681976656301401</v>
      </c>
      <c r="L117" s="128"/>
      <c r="M117" s="108"/>
      <c r="N117" s="91">
        <v>54</v>
      </c>
      <c r="O117" s="129">
        <f t="shared" si="23"/>
        <v>529783.0897599802</v>
      </c>
      <c r="P117" s="89">
        <f>RATE(P28,-Q30,Q23)</f>
        <v>0.007083333333333172</v>
      </c>
      <c r="Q117" s="63">
        <f t="shared" si="28"/>
        <v>9958.837001851518</v>
      </c>
      <c r="R117" s="63">
        <f t="shared" si="18"/>
        <v>3752.6302191331074</v>
      </c>
      <c r="S117" s="63">
        <f t="shared" si="19"/>
        <v>6206.206782718411</v>
      </c>
      <c r="T117" s="130">
        <v>38473</v>
      </c>
      <c r="U117" s="91">
        <v>54</v>
      </c>
      <c r="V117" s="129">
        <f t="shared" si="24"/>
        <v>418081.8373362911</v>
      </c>
      <c r="W117" s="89">
        <f>RATE(W28,-X30,X23)</f>
        <v>0.0070833333333331265</v>
      </c>
      <c r="X117" s="63">
        <f t="shared" si="25"/>
        <v>9958.837001851518</v>
      </c>
      <c r="Y117" s="63">
        <f t="shared" si="20"/>
        <v>2961.4130144653086</v>
      </c>
      <c r="Z117" s="63">
        <f t="shared" si="21"/>
        <v>6997.42398738621</v>
      </c>
      <c r="AA117" s="130">
        <v>38473</v>
      </c>
      <c r="AB117" s="40"/>
      <c r="AC117" s="40" t="s">
        <v>227</v>
      </c>
      <c r="AD117" s="80">
        <v>0</v>
      </c>
      <c r="AE117" s="63">
        <f>+(AE111+AE113)*AD117</f>
        <v>0</v>
      </c>
      <c r="AF117" s="102"/>
    </row>
    <row r="118" spans="1:32" ht="12.75">
      <c r="A118" s="132">
        <v>55</v>
      </c>
      <c r="B118" s="142">
        <f t="shared" si="22"/>
        <v>512971.7507066572</v>
      </c>
      <c r="C118" s="133">
        <f t="shared" si="15"/>
        <v>0.048999996</v>
      </c>
      <c r="D118" s="134">
        <v>0.004083333</v>
      </c>
      <c r="E118" s="135">
        <v>9009.51</v>
      </c>
      <c r="F118" s="135">
        <f t="shared" si="16"/>
        <v>2094.6344777282666</v>
      </c>
      <c r="G118" s="135">
        <f t="shared" si="17"/>
        <v>6914.875522271734</v>
      </c>
      <c r="H118" s="136">
        <v>38504</v>
      </c>
      <c r="J118" s="117">
        <f t="shared" si="26"/>
        <v>0.23249149817562403</v>
      </c>
      <c r="K118" s="117">
        <f t="shared" si="27"/>
        <v>0.7675085018243759</v>
      </c>
      <c r="L118" s="117"/>
      <c r="M118" s="108"/>
      <c r="N118" s="91">
        <v>55</v>
      </c>
      <c r="O118" s="129">
        <f t="shared" si="23"/>
        <v>523576.8829772618</v>
      </c>
      <c r="P118" s="89">
        <f>RATE(P28,-Q30,Q23)</f>
        <v>0.007083333333333172</v>
      </c>
      <c r="Q118" s="63">
        <f t="shared" si="28"/>
        <v>9958.837001851518</v>
      </c>
      <c r="R118" s="63">
        <f t="shared" si="18"/>
        <v>3708.66958775552</v>
      </c>
      <c r="S118" s="63">
        <f t="shared" si="19"/>
        <v>6250.1674140959985</v>
      </c>
      <c r="T118" s="130">
        <v>38504</v>
      </c>
      <c r="U118" s="91">
        <v>55</v>
      </c>
      <c r="V118" s="129">
        <f t="shared" si="24"/>
        <v>411084.41334890487</v>
      </c>
      <c r="W118" s="89">
        <f>RATE(W28,-X30,X23)</f>
        <v>0.0070833333333331265</v>
      </c>
      <c r="X118" s="63">
        <f t="shared" si="25"/>
        <v>9958.837001851518</v>
      </c>
      <c r="Y118" s="63">
        <f t="shared" si="20"/>
        <v>2911.8479278879913</v>
      </c>
      <c r="Z118" s="63">
        <f t="shared" si="21"/>
        <v>7046.989073963527</v>
      </c>
      <c r="AA118" s="130">
        <v>38504</v>
      </c>
      <c r="AB118" s="40"/>
      <c r="AC118" s="40"/>
      <c r="AD118" s="40"/>
      <c r="AE118" s="63"/>
      <c r="AF118" s="67"/>
    </row>
    <row r="119" spans="1:32" ht="12.75">
      <c r="A119" s="90">
        <v>56</v>
      </c>
      <c r="B119" s="131">
        <f t="shared" si="22"/>
        <v>506056.87518438546</v>
      </c>
      <c r="C119" s="124">
        <f t="shared" si="15"/>
        <v>0.048999996</v>
      </c>
      <c r="D119" s="125">
        <f aca="true" t="shared" si="29" ref="D119:D145">+D118</f>
        <v>0.004083333</v>
      </c>
      <c r="E119" s="126">
        <f aca="true" t="shared" si="30" ref="E119:E145">+E118</f>
        <v>9009.51</v>
      </c>
      <c r="F119" s="126">
        <f t="shared" si="16"/>
        <v>2066.398738317282</v>
      </c>
      <c r="G119" s="126">
        <f t="shared" si="17"/>
        <v>6943.111261682718</v>
      </c>
      <c r="H119" s="127">
        <v>38534</v>
      </c>
      <c r="J119" s="117">
        <f t="shared" si="26"/>
        <v>0.229357505382344</v>
      </c>
      <c r="K119" s="117">
        <f t="shared" si="27"/>
        <v>0.770642494617656</v>
      </c>
      <c r="L119" s="143"/>
      <c r="M119" s="108"/>
      <c r="N119" s="91">
        <v>56</v>
      </c>
      <c r="O119" s="129">
        <f t="shared" si="23"/>
        <v>517326.7155631658</v>
      </c>
      <c r="P119" s="89">
        <f>RATE(P28,-Q30,Q23)</f>
        <v>0.007083333333333172</v>
      </c>
      <c r="Q119" s="63">
        <f t="shared" si="28"/>
        <v>9958.837001851518</v>
      </c>
      <c r="R119" s="63">
        <f t="shared" si="18"/>
        <v>3664.397568572341</v>
      </c>
      <c r="S119" s="63">
        <f t="shared" si="19"/>
        <v>6294.439433279177</v>
      </c>
      <c r="T119" s="130">
        <v>38534</v>
      </c>
      <c r="U119" s="91">
        <v>56</v>
      </c>
      <c r="V119" s="129">
        <f t="shared" si="24"/>
        <v>404037.4242749413</v>
      </c>
      <c r="W119" s="89">
        <f>RATE(W28,-X30,X23)</f>
        <v>0.0070833333333331265</v>
      </c>
      <c r="X119" s="63">
        <f t="shared" si="25"/>
        <v>9958.837001851518</v>
      </c>
      <c r="Y119" s="63">
        <f t="shared" si="20"/>
        <v>2861.9317552807506</v>
      </c>
      <c r="Z119" s="63">
        <f t="shared" si="21"/>
        <v>7096.905246570767</v>
      </c>
      <c r="AA119" s="130">
        <v>38534</v>
      </c>
      <c r="AB119" s="40"/>
      <c r="AC119" s="40" t="s">
        <v>228</v>
      </c>
      <c r="AD119" s="40"/>
      <c r="AE119" s="63">
        <f>+AE101+AE112+AE117+AE114+AE118</f>
        <v>0</v>
      </c>
      <c r="AF119" s="102"/>
    </row>
    <row r="120" spans="1:32" ht="12.75">
      <c r="A120" s="90">
        <v>57</v>
      </c>
      <c r="B120" s="131">
        <f t="shared" si="22"/>
        <v>499113.76392270275</v>
      </c>
      <c r="C120" s="124">
        <f t="shared" si="15"/>
        <v>0.048999996</v>
      </c>
      <c r="D120" s="125">
        <f t="shared" si="29"/>
        <v>0.004083333</v>
      </c>
      <c r="E120" s="126">
        <f t="shared" si="30"/>
        <v>9009.51</v>
      </c>
      <c r="F120" s="126">
        <f t="shared" si="16"/>
        <v>2038.0477029797814</v>
      </c>
      <c r="G120" s="126">
        <f t="shared" si="17"/>
        <v>6971.462297020219</v>
      </c>
      <c r="H120" s="127">
        <v>38565</v>
      </c>
      <c r="J120" s="117">
        <f t="shared" si="26"/>
        <v>0.2262107154528694</v>
      </c>
      <c r="K120" s="117">
        <f t="shared" si="27"/>
        <v>0.7737892845471306</v>
      </c>
      <c r="L120" s="128"/>
      <c r="M120" s="108"/>
      <c r="N120" s="91">
        <v>57</v>
      </c>
      <c r="O120" s="129">
        <f t="shared" si="23"/>
        <v>511032.2761298866</v>
      </c>
      <c r="P120" s="89">
        <f>RATE(P28,-Q30,Q23)</f>
        <v>0.007083333333333172</v>
      </c>
      <c r="Q120" s="63">
        <f t="shared" si="28"/>
        <v>9958.837001851518</v>
      </c>
      <c r="R120" s="63">
        <f t="shared" si="18"/>
        <v>3619.8119559199476</v>
      </c>
      <c r="S120" s="63">
        <f t="shared" si="19"/>
        <v>6339.02504593157</v>
      </c>
      <c r="T120" s="130">
        <v>38565</v>
      </c>
      <c r="U120" s="91">
        <v>57</v>
      </c>
      <c r="V120" s="129">
        <f t="shared" si="24"/>
        <v>396940.51902837056</v>
      </c>
      <c r="W120" s="89">
        <f>RATE(W28,-X30,X23)</f>
        <v>0.0070833333333331265</v>
      </c>
      <c r="X120" s="63">
        <f t="shared" si="25"/>
        <v>9958.837001851518</v>
      </c>
      <c r="Y120" s="63">
        <f t="shared" si="20"/>
        <v>2811.662009784209</v>
      </c>
      <c r="Z120" s="63">
        <f t="shared" si="21"/>
        <v>7147.174992067308</v>
      </c>
      <c r="AA120" s="130">
        <v>38565</v>
      </c>
      <c r="AB120" s="40"/>
      <c r="AC120" s="40"/>
      <c r="AD120" s="40"/>
      <c r="AE120" s="63"/>
      <c r="AF120" s="67"/>
    </row>
    <row r="121" spans="1:32" ht="12.75">
      <c r="A121" s="90">
        <v>58</v>
      </c>
      <c r="B121" s="131">
        <f t="shared" si="22"/>
        <v>492142.3016256825</v>
      </c>
      <c r="C121" s="124">
        <f t="shared" si="15"/>
        <v>0.048999996</v>
      </c>
      <c r="D121" s="125">
        <f t="shared" si="29"/>
        <v>0.004083333</v>
      </c>
      <c r="E121" s="126">
        <f t="shared" si="30"/>
        <v>9009.51</v>
      </c>
      <c r="F121" s="126">
        <f t="shared" si="16"/>
        <v>2009.580900924103</v>
      </c>
      <c r="G121" s="126">
        <f t="shared" si="17"/>
        <v>6999.929099075897</v>
      </c>
      <c r="H121" s="127">
        <v>38596</v>
      </c>
      <c r="J121" s="117">
        <f t="shared" si="26"/>
        <v>0.2230510761322317</v>
      </c>
      <c r="K121" s="117">
        <f t="shared" si="27"/>
        <v>0.7769489238677683</v>
      </c>
      <c r="L121" s="128"/>
      <c r="M121" s="108"/>
      <c r="N121" s="91">
        <v>58</v>
      </c>
      <c r="O121" s="129">
        <f t="shared" si="23"/>
        <v>504693.25108395505</v>
      </c>
      <c r="P121" s="89">
        <f>RATE(P28,-Q30,Q23)</f>
        <v>0.007083333333333172</v>
      </c>
      <c r="Q121" s="63">
        <f t="shared" si="28"/>
        <v>9958.837001851518</v>
      </c>
      <c r="R121" s="63">
        <f t="shared" si="18"/>
        <v>3574.910528511267</v>
      </c>
      <c r="S121" s="63">
        <f t="shared" si="19"/>
        <v>6383.926473340251</v>
      </c>
      <c r="T121" s="130">
        <v>38596</v>
      </c>
      <c r="U121" s="91">
        <v>58</v>
      </c>
      <c r="V121" s="129">
        <f t="shared" si="24"/>
        <v>389793.3440363032</v>
      </c>
      <c r="W121" s="89">
        <f>RATE(W28,-X30,X23)</f>
        <v>0.0070833333333331265</v>
      </c>
      <c r="X121" s="63">
        <f t="shared" si="25"/>
        <v>9958.837001851518</v>
      </c>
      <c r="Y121" s="63">
        <f t="shared" si="20"/>
        <v>2761.036186923734</v>
      </c>
      <c r="Z121" s="63">
        <f t="shared" si="21"/>
        <v>7197.800814927784</v>
      </c>
      <c r="AA121" s="130">
        <v>38596</v>
      </c>
      <c r="AB121" s="40"/>
      <c r="AC121" s="40" t="s">
        <v>229</v>
      </c>
      <c r="AD121" s="40" t="s">
        <v>209</v>
      </c>
      <c r="AE121" s="63">
        <f>+AE111-AE102</f>
        <v>39366.37048480357</v>
      </c>
      <c r="AF121" s="67"/>
    </row>
    <row r="122" spans="1:32" ht="12.75">
      <c r="A122" s="90">
        <v>59</v>
      </c>
      <c r="B122" s="131">
        <f t="shared" si="22"/>
        <v>485142.3725266066</v>
      </c>
      <c r="C122" s="124">
        <f t="shared" si="15"/>
        <v>0.048999996</v>
      </c>
      <c r="D122" s="125">
        <f t="shared" si="29"/>
        <v>0.004083333</v>
      </c>
      <c r="E122" s="126">
        <f t="shared" si="30"/>
        <v>9009.51</v>
      </c>
      <c r="F122" s="126">
        <f t="shared" si="16"/>
        <v>1980.997859436186</v>
      </c>
      <c r="G122" s="126">
        <f t="shared" si="17"/>
        <v>7028.512140563815</v>
      </c>
      <c r="H122" s="127">
        <v>38626</v>
      </c>
      <c r="J122" s="117">
        <f t="shared" si="26"/>
        <v>0.21987853495208795</v>
      </c>
      <c r="K122" s="117">
        <f t="shared" si="27"/>
        <v>0.7801214650479121</v>
      </c>
      <c r="L122" s="128"/>
      <c r="M122" s="108"/>
      <c r="N122" s="91">
        <v>59</v>
      </c>
      <c r="O122" s="129">
        <f t="shared" si="23"/>
        <v>498309.3246106148</v>
      </c>
      <c r="P122" s="89">
        <f>RATE(P28,-Q30,Q23)</f>
        <v>0.007083333333333172</v>
      </c>
      <c r="Q122" s="63">
        <f t="shared" si="28"/>
        <v>9958.837001851518</v>
      </c>
      <c r="R122" s="63">
        <f t="shared" si="18"/>
        <v>3529.6910493251075</v>
      </c>
      <c r="S122" s="63">
        <f t="shared" si="19"/>
        <v>6429.145952526411</v>
      </c>
      <c r="T122" s="130">
        <v>38626</v>
      </c>
      <c r="U122" s="91">
        <v>59</v>
      </c>
      <c r="V122" s="129">
        <f t="shared" si="24"/>
        <v>382595.54322137544</v>
      </c>
      <c r="W122" s="89">
        <f>RATE(W28,-X30,X23)</f>
        <v>0.0070833333333331265</v>
      </c>
      <c r="X122" s="63">
        <f t="shared" si="25"/>
        <v>9958.837001851518</v>
      </c>
      <c r="Y122" s="63">
        <f t="shared" si="20"/>
        <v>2710.0517644846636</v>
      </c>
      <c r="Z122" s="63">
        <f t="shared" si="21"/>
        <v>7248.785237366854</v>
      </c>
      <c r="AA122" s="130">
        <v>38626</v>
      </c>
      <c r="AB122" s="40"/>
      <c r="AC122" s="40" t="s">
        <v>230</v>
      </c>
      <c r="AD122" s="40"/>
      <c r="AE122" s="52" t="e">
        <f>+AE115/AE100*100</f>
        <v>#DIV/0!</v>
      </c>
      <c r="AF122" s="52"/>
    </row>
    <row r="123" spans="1:32" ht="12.75">
      <c r="A123" s="90">
        <v>60</v>
      </c>
      <c r="B123" s="131">
        <f t="shared" si="22"/>
        <v>478113.8603860428</v>
      </c>
      <c r="C123" s="124">
        <f t="shared" si="15"/>
        <v>0.048999996</v>
      </c>
      <c r="D123" s="125">
        <f t="shared" si="29"/>
        <v>0.004083333</v>
      </c>
      <c r="E123" s="126">
        <f t="shared" si="30"/>
        <v>9009.51</v>
      </c>
      <c r="F123" s="126">
        <f t="shared" si="16"/>
        <v>1952.2981038717212</v>
      </c>
      <c r="G123" s="126">
        <f t="shared" si="17"/>
        <v>7057.2118961282795</v>
      </c>
      <c r="H123" s="127">
        <v>38657</v>
      </c>
      <c r="J123" s="117">
        <f t="shared" si="26"/>
        <v>0.21669303922984948</v>
      </c>
      <c r="K123" s="117">
        <f t="shared" si="27"/>
        <v>0.7833069607701506</v>
      </c>
      <c r="L123" s="128"/>
      <c r="M123" s="108"/>
      <c r="N123" s="91">
        <v>60</v>
      </c>
      <c r="O123" s="129">
        <f t="shared" si="23"/>
        <v>491880.1786580884</v>
      </c>
      <c r="P123" s="89">
        <f>RATE(P28,-Q30,Q23)</f>
        <v>0.007083333333333172</v>
      </c>
      <c r="Q123" s="63">
        <f t="shared" si="28"/>
        <v>9958.837001851518</v>
      </c>
      <c r="R123" s="63">
        <f t="shared" si="18"/>
        <v>3484.1512654947132</v>
      </c>
      <c r="S123" s="63">
        <f t="shared" si="19"/>
        <v>6474.685736356805</v>
      </c>
      <c r="T123" s="130">
        <v>38657</v>
      </c>
      <c r="U123" s="91">
        <v>60</v>
      </c>
      <c r="V123" s="129">
        <f t="shared" si="24"/>
        <v>375346.7579840086</v>
      </c>
      <c r="W123" s="89">
        <f>RATE(W28,-X30,X23)</f>
        <v>0.0070833333333331265</v>
      </c>
      <c r="X123" s="63">
        <f t="shared" si="25"/>
        <v>9958.837001851518</v>
      </c>
      <c r="Y123" s="63">
        <f t="shared" si="20"/>
        <v>2658.7062023866497</v>
      </c>
      <c r="Z123" s="63">
        <f t="shared" si="21"/>
        <v>7300.130799464869</v>
      </c>
      <c r="AA123" s="130">
        <v>38657</v>
      </c>
      <c r="AB123" s="40"/>
      <c r="AC123" s="40"/>
      <c r="AD123" s="40" t="s">
        <v>209</v>
      </c>
      <c r="AE123" s="40"/>
      <c r="AF123" s="40"/>
    </row>
    <row r="124" spans="1:27" ht="12.75">
      <c r="A124" s="90">
        <v>61</v>
      </c>
      <c r="B124" s="131">
        <f t="shared" si="22"/>
        <v>471056.64848991454</v>
      </c>
      <c r="C124" s="124">
        <f t="shared" si="15"/>
        <v>0.048999996</v>
      </c>
      <c r="D124" s="125">
        <f t="shared" si="29"/>
        <v>0.004083333</v>
      </c>
      <c r="E124" s="126">
        <f t="shared" si="30"/>
        <v>9009.51</v>
      </c>
      <c r="F124" s="126">
        <f t="shared" si="16"/>
        <v>1923.4811576482682</v>
      </c>
      <c r="G124" s="126">
        <f t="shared" si="17"/>
        <v>7086.028842351732</v>
      </c>
      <c r="H124" s="127">
        <v>38687</v>
      </c>
      <c r="J124" s="117">
        <f t="shared" si="26"/>
        <v>0.21349453606780702</v>
      </c>
      <c r="K124" s="117">
        <f t="shared" si="27"/>
        <v>0.786505463932193</v>
      </c>
      <c r="L124" s="128"/>
      <c r="M124" s="108"/>
      <c r="N124" s="91">
        <v>61</v>
      </c>
      <c r="O124" s="129">
        <f t="shared" si="23"/>
        <v>485405.49292173155</v>
      </c>
      <c r="P124" s="89">
        <f>RATE(P28,-Q30,Q23)</f>
        <v>0.007083333333333172</v>
      </c>
      <c r="Q124" s="63">
        <f t="shared" si="28"/>
        <v>9958.837001851518</v>
      </c>
      <c r="R124" s="63">
        <f t="shared" si="18"/>
        <v>3438.28890819552</v>
      </c>
      <c r="S124" s="63">
        <f t="shared" si="19"/>
        <v>6520.548093655998</v>
      </c>
      <c r="T124" s="130">
        <v>38687</v>
      </c>
      <c r="U124" s="91">
        <v>61</v>
      </c>
      <c r="V124" s="129">
        <f t="shared" si="24"/>
        <v>368046.6271845437</v>
      </c>
      <c r="W124" s="89">
        <f>RATE(W28,-X30,X23)</f>
        <v>0.0070833333333331265</v>
      </c>
      <c r="X124" s="63">
        <f t="shared" si="25"/>
        <v>9958.837001851518</v>
      </c>
      <c r="Y124" s="63">
        <f t="shared" si="20"/>
        <v>2606.9969425571085</v>
      </c>
      <c r="Z124" s="63">
        <f t="shared" si="21"/>
        <v>7351.840059294409</v>
      </c>
      <c r="AA124" s="130">
        <v>38687</v>
      </c>
    </row>
    <row r="125" spans="1:27" ht="12.75">
      <c r="A125" s="90">
        <v>62</v>
      </c>
      <c r="B125" s="131">
        <f t="shared" si="22"/>
        <v>463970.6196475628</v>
      </c>
      <c r="C125" s="124">
        <f t="shared" si="15"/>
        <v>0.048999996</v>
      </c>
      <c r="D125" s="125">
        <f t="shared" si="29"/>
        <v>0.004083333</v>
      </c>
      <c r="E125" s="126">
        <f t="shared" si="30"/>
        <v>9009.51</v>
      </c>
      <c r="F125" s="126">
        <f t="shared" si="16"/>
        <v>1894.5465422373413</v>
      </c>
      <c r="G125" s="126">
        <f t="shared" si="17"/>
        <v>7114.963457762658</v>
      </c>
      <c r="H125" s="127">
        <v>38718</v>
      </c>
      <c r="J125" s="117">
        <f t="shared" si="26"/>
        <v>0.21028297235225238</v>
      </c>
      <c r="K125" s="117">
        <f t="shared" si="27"/>
        <v>0.7897170276477475</v>
      </c>
      <c r="L125" s="128"/>
      <c r="M125" s="108"/>
      <c r="N125" s="91">
        <v>62</v>
      </c>
      <c r="O125" s="129">
        <f t="shared" si="23"/>
        <v>478884.94482807553</v>
      </c>
      <c r="P125" s="89">
        <f>RATE(P28,-Q30,Q23)</f>
        <v>0.007083333333333172</v>
      </c>
      <c r="Q125" s="63">
        <f t="shared" si="28"/>
        <v>9958.837001851518</v>
      </c>
      <c r="R125" s="63">
        <f t="shared" si="18"/>
        <v>3392.101692532124</v>
      </c>
      <c r="S125" s="63">
        <f t="shared" si="19"/>
        <v>6566.735309319394</v>
      </c>
      <c r="T125" s="130">
        <v>38718</v>
      </c>
      <c r="U125" s="91">
        <v>62</v>
      </c>
      <c r="V125" s="129">
        <f t="shared" si="24"/>
        <v>360694.7871252493</v>
      </c>
      <c r="W125" s="89">
        <f>RATE(W28,-X30,X23)</f>
        <v>0.0070833333333331265</v>
      </c>
      <c r="X125" s="63">
        <f t="shared" si="25"/>
        <v>9958.837001851518</v>
      </c>
      <c r="Y125" s="63">
        <f t="shared" si="20"/>
        <v>2554.9214088037743</v>
      </c>
      <c r="Z125" s="63">
        <f t="shared" si="21"/>
        <v>7403.915593047744</v>
      </c>
      <c r="AA125" s="130">
        <v>38718</v>
      </c>
    </row>
    <row r="126" spans="1:27" ht="12.75">
      <c r="A126" s="90">
        <v>63</v>
      </c>
      <c r="B126" s="131">
        <f t="shared" si="22"/>
        <v>456855.6561898001</v>
      </c>
      <c r="C126" s="124">
        <f t="shared" si="15"/>
        <v>0.048999996</v>
      </c>
      <c r="D126" s="125">
        <f t="shared" si="29"/>
        <v>0.004083333</v>
      </c>
      <c r="E126" s="126">
        <f t="shared" si="30"/>
        <v>9009.51</v>
      </c>
      <c r="F126" s="126">
        <f t="shared" si="16"/>
        <v>1865.493777156465</v>
      </c>
      <c r="G126" s="126">
        <f t="shared" si="17"/>
        <v>7144.016222843535</v>
      </c>
      <c r="H126" s="127">
        <v>38749</v>
      </c>
      <c r="J126" s="117">
        <f t="shared" si="26"/>
        <v>0.20705829475259643</v>
      </c>
      <c r="K126" s="117">
        <f t="shared" si="27"/>
        <v>0.7929417052474035</v>
      </c>
      <c r="L126" s="128"/>
      <c r="M126" s="108"/>
      <c r="N126" s="91">
        <v>63</v>
      </c>
      <c r="O126" s="129">
        <f t="shared" si="23"/>
        <v>472318.20951875614</v>
      </c>
      <c r="P126" s="89">
        <f>RATE(P28,-Q30,Q23)</f>
        <v>0.007083333333333172</v>
      </c>
      <c r="Q126" s="63">
        <f t="shared" si="28"/>
        <v>9958.837001851518</v>
      </c>
      <c r="R126" s="63">
        <f t="shared" si="18"/>
        <v>3345.587317424446</v>
      </c>
      <c r="S126" s="63">
        <f t="shared" si="19"/>
        <v>6613.249684427072</v>
      </c>
      <c r="T126" s="130">
        <v>38749</v>
      </c>
      <c r="U126" s="91">
        <v>63</v>
      </c>
      <c r="V126" s="129">
        <f t="shared" si="24"/>
        <v>353290.87153220153</v>
      </c>
      <c r="W126" s="89">
        <f>RATE(W28,-X30,X23)</f>
        <v>0.0070833333333331265</v>
      </c>
      <c r="X126" s="63">
        <f t="shared" si="25"/>
        <v>9958.837001851518</v>
      </c>
      <c r="Y126" s="63">
        <f t="shared" si="20"/>
        <v>2502.4770066863543</v>
      </c>
      <c r="Z126" s="63">
        <f t="shared" si="21"/>
        <v>7456.359995165163</v>
      </c>
      <c r="AA126" s="130">
        <v>38749</v>
      </c>
    </row>
    <row r="127" spans="1:27" ht="12.75">
      <c r="A127" s="90">
        <v>64</v>
      </c>
      <c r="B127" s="131">
        <f t="shared" si="22"/>
        <v>449711.6399669566</v>
      </c>
      <c r="C127" s="124">
        <f t="shared" si="15"/>
        <v>0.048999996</v>
      </c>
      <c r="D127" s="125">
        <f t="shared" si="29"/>
        <v>0.004083333</v>
      </c>
      <c r="E127" s="126">
        <f t="shared" si="30"/>
        <v>9009.51</v>
      </c>
      <c r="F127" s="126">
        <f t="shared" si="16"/>
        <v>1836.3223799611926</v>
      </c>
      <c r="G127" s="126">
        <f t="shared" si="17"/>
        <v>7173.187620038808</v>
      </c>
      <c r="H127" s="127">
        <v>38777</v>
      </c>
      <c r="J127" s="117">
        <f t="shared" si="26"/>
        <v>0.2038204497204834</v>
      </c>
      <c r="K127" s="117">
        <f t="shared" si="27"/>
        <v>0.7961795502795166</v>
      </c>
      <c r="L127" s="128"/>
      <c r="M127" s="108"/>
      <c r="N127" s="91">
        <v>64</v>
      </c>
      <c r="O127" s="129">
        <f t="shared" si="23"/>
        <v>465704.9598343291</v>
      </c>
      <c r="P127" s="89">
        <f>RATE(P28,-Q30,Q23)</f>
        <v>0.007083333333333172</v>
      </c>
      <c r="Q127" s="63">
        <f t="shared" si="28"/>
        <v>9958.837001851518</v>
      </c>
      <c r="R127" s="63">
        <f t="shared" si="18"/>
        <v>3298.743465493089</v>
      </c>
      <c r="S127" s="63">
        <f t="shared" si="19"/>
        <v>6660.0935363584285</v>
      </c>
      <c r="T127" s="130">
        <v>38777</v>
      </c>
      <c r="U127" s="91">
        <v>64</v>
      </c>
      <c r="V127" s="129">
        <f t="shared" si="24"/>
        <v>345834.5115370364</v>
      </c>
      <c r="W127" s="89">
        <f>RATE(W28,-X30,X23)</f>
        <v>0.0070833333333331265</v>
      </c>
      <c r="X127" s="63">
        <f t="shared" si="25"/>
        <v>9958.837001851518</v>
      </c>
      <c r="Y127" s="63">
        <f t="shared" si="20"/>
        <v>2449.6611233872695</v>
      </c>
      <c r="Z127" s="63">
        <f t="shared" si="21"/>
        <v>7509.175878464248</v>
      </c>
      <c r="AA127" s="130">
        <v>38777</v>
      </c>
    </row>
    <row r="128" spans="1:27" ht="12.75">
      <c r="A128" s="90">
        <v>65</v>
      </c>
      <c r="B128" s="131">
        <f t="shared" si="22"/>
        <v>442538.45234691777</v>
      </c>
      <c r="C128" s="124">
        <f aca="true" t="shared" si="31" ref="C128:C159">+D128*12</f>
        <v>0.048999996</v>
      </c>
      <c r="D128" s="125">
        <f t="shared" si="29"/>
        <v>0.004083333</v>
      </c>
      <c r="E128" s="126">
        <f t="shared" si="30"/>
        <v>9009.51</v>
      </c>
      <c r="F128" s="126">
        <f aca="true" t="shared" si="32" ref="F128:F159">+B128*D128</f>
        <v>1807.0318662370967</v>
      </c>
      <c r="G128" s="126">
        <f aca="true" t="shared" si="33" ref="G128:G159">+E128-F128</f>
        <v>7202.478133762904</v>
      </c>
      <c r="H128" s="127">
        <v>38808</v>
      </c>
      <c r="J128" s="117">
        <f t="shared" si="26"/>
        <v>0.2005693834889019</v>
      </c>
      <c r="K128" s="117">
        <f t="shared" si="27"/>
        <v>0.7994306165110981</v>
      </c>
      <c r="L128" s="128"/>
      <c r="M128" s="108"/>
      <c r="N128" s="91">
        <v>65</v>
      </c>
      <c r="O128" s="129">
        <f t="shared" si="23"/>
        <v>459044.86629797064</v>
      </c>
      <c r="P128" s="89">
        <f>RATE(P28,-Q30,Q23)</f>
        <v>0.007083333333333172</v>
      </c>
      <c r="Q128" s="63">
        <f t="shared" si="28"/>
        <v>9958.837001851518</v>
      </c>
      <c r="R128" s="63">
        <f aca="true" t="shared" si="34" ref="R128:R159">+O128*P128</f>
        <v>3251.5678029438845</v>
      </c>
      <c r="S128" s="63">
        <f aca="true" t="shared" si="35" ref="S128:S159">+Q128-R128</f>
        <v>6707.269198907634</v>
      </c>
      <c r="T128" s="130">
        <v>38808</v>
      </c>
      <c r="U128" s="91">
        <v>65</v>
      </c>
      <c r="V128" s="129">
        <f t="shared" si="24"/>
        <v>338325.33565857215</v>
      </c>
      <c r="W128" s="89">
        <f>RATE(W28,-X30,X23)</f>
        <v>0.0070833333333331265</v>
      </c>
      <c r="X128" s="63">
        <f t="shared" si="25"/>
        <v>9958.837001851518</v>
      </c>
      <c r="Y128" s="63">
        <f aca="true" t="shared" si="36" ref="Y128:Y159">+V128*W128</f>
        <v>2396.471127581483</v>
      </c>
      <c r="Z128" s="63">
        <f aca="true" t="shared" si="37" ref="Z128:Z159">+X128-Y128</f>
        <v>7562.365874270035</v>
      </c>
      <c r="AA128" s="130">
        <v>38808</v>
      </c>
    </row>
    <row r="129" spans="1:27" ht="12.75">
      <c r="A129" s="90">
        <v>66</v>
      </c>
      <c r="B129" s="131">
        <f aca="true" t="shared" si="38" ref="B129:B160">+B128-G128</f>
        <v>435335.97421315487</v>
      </c>
      <c r="C129" s="124">
        <f t="shared" si="31"/>
        <v>0.048999996</v>
      </c>
      <c r="D129" s="125">
        <f t="shared" si="29"/>
        <v>0.004083333</v>
      </c>
      <c r="E129" s="126">
        <f t="shared" si="30"/>
        <v>9009.51</v>
      </c>
      <c r="F129" s="126">
        <f t="shared" si="32"/>
        <v>1777.6217495917242</v>
      </c>
      <c r="G129" s="126">
        <f t="shared" si="33"/>
        <v>7231.888250408276</v>
      </c>
      <c r="H129" s="127">
        <v>38838</v>
      </c>
      <c r="J129" s="117">
        <f t="shared" si="26"/>
        <v>0.1973050420712918</v>
      </c>
      <c r="K129" s="117">
        <f t="shared" si="27"/>
        <v>0.8026949579287082</v>
      </c>
      <c r="L129" s="128"/>
      <c r="M129" s="108"/>
      <c r="N129" s="91">
        <v>66</v>
      </c>
      <c r="O129" s="129">
        <f aca="true" t="shared" si="39" ref="O129:O160">+O128-S128</f>
        <v>452337.597099063</v>
      </c>
      <c r="P129" s="89">
        <f>RATE(P28,-Q30,Q23)</f>
        <v>0.007083333333333172</v>
      </c>
      <c r="Q129" s="63">
        <f t="shared" si="28"/>
        <v>9958.837001851518</v>
      </c>
      <c r="R129" s="63">
        <f t="shared" si="34"/>
        <v>3204.057979451623</v>
      </c>
      <c r="S129" s="63">
        <f t="shared" si="35"/>
        <v>6754.7790223998945</v>
      </c>
      <c r="T129" s="130">
        <v>38838</v>
      </c>
      <c r="U129" s="91">
        <v>66</v>
      </c>
      <c r="V129" s="129">
        <f aca="true" t="shared" si="40" ref="V129:V160">+V128-Z128</f>
        <v>330762.9697843021</v>
      </c>
      <c r="W129" s="89">
        <f>RATE(W28,-X30,X23)</f>
        <v>0.0070833333333331265</v>
      </c>
      <c r="X129" s="63">
        <f aca="true" t="shared" si="41" ref="X129:X160">+X128</f>
        <v>9958.837001851518</v>
      </c>
      <c r="Y129" s="63">
        <f t="shared" si="36"/>
        <v>2342.904369305405</v>
      </c>
      <c r="Z129" s="63">
        <f t="shared" si="37"/>
        <v>7615.932632546113</v>
      </c>
      <c r="AA129" s="130">
        <v>38838</v>
      </c>
    </row>
    <row r="130" spans="1:27" ht="12.75">
      <c r="A130" s="90">
        <v>67</v>
      </c>
      <c r="B130" s="131">
        <f t="shared" si="38"/>
        <v>428104.0859627466</v>
      </c>
      <c r="C130" s="124">
        <f t="shared" si="31"/>
        <v>0.048999996</v>
      </c>
      <c r="D130" s="125">
        <f t="shared" si="29"/>
        <v>0.004083333</v>
      </c>
      <c r="E130" s="126">
        <f t="shared" si="30"/>
        <v>9009.51</v>
      </c>
      <c r="F130" s="126">
        <f t="shared" si="32"/>
        <v>1748.0915416465198</v>
      </c>
      <c r="G130" s="126">
        <f t="shared" si="33"/>
        <v>7261.418458353481</v>
      </c>
      <c r="H130" s="127">
        <v>38869</v>
      </c>
      <c r="J130" s="117">
        <f t="shared" si="26"/>
        <v>0.1940273712606479</v>
      </c>
      <c r="K130" s="117">
        <f t="shared" si="27"/>
        <v>0.8059726287393522</v>
      </c>
      <c r="L130" s="128"/>
      <c r="M130" s="108"/>
      <c r="N130" s="91">
        <v>67</v>
      </c>
      <c r="O130" s="129">
        <f t="shared" si="39"/>
        <v>445582.81807666307</v>
      </c>
      <c r="P130" s="89">
        <f>RATE(P28,-Q30,Q23)</f>
        <v>0.007083333333333172</v>
      </c>
      <c r="Q130" s="63">
        <f t="shared" si="28"/>
        <v>9958.837001851518</v>
      </c>
      <c r="R130" s="63">
        <f t="shared" si="34"/>
        <v>3156.211628042958</v>
      </c>
      <c r="S130" s="63">
        <f t="shared" si="35"/>
        <v>6802.62537380856</v>
      </c>
      <c r="T130" s="130">
        <v>38869</v>
      </c>
      <c r="U130" s="91">
        <v>67</v>
      </c>
      <c r="V130" s="129">
        <f t="shared" si="40"/>
        <v>323147.037151756</v>
      </c>
      <c r="W130" s="89">
        <f>RATE(W28,-X30,X23)</f>
        <v>0.0070833333333331265</v>
      </c>
      <c r="X130" s="63">
        <f t="shared" si="41"/>
        <v>9958.837001851518</v>
      </c>
      <c r="Y130" s="63">
        <f t="shared" si="36"/>
        <v>2288.9581798248714</v>
      </c>
      <c r="Z130" s="63">
        <f t="shared" si="37"/>
        <v>7669.878822026647</v>
      </c>
      <c r="AA130" s="130">
        <v>38869</v>
      </c>
    </row>
    <row r="131" spans="1:27" ht="12.75">
      <c r="A131" s="90">
        <v>68</v>
      </c>
      <c r="B131" s="131">
        <f t="shared" si="38"/>
        <v>420842.6675043931</v>
      </c>
      <c r="C131" s="124">
        <f t="shared" si="31"/>
        <v>0.048999996</v>
      </c>
      <c r="D131" s="125">
        <f t="shared" si="29"/>
        <v>0.004083333</v>
      </c>
      <c r="E131" s="126">
        <f t="shared" si="30"/>
        <v>9009.51</v>
      </c>
      <c r="F131" s="126">
        <f t="shared" si="32"/>
        <v>1718.440752028716</v>
      </c>
      <c r="G131" s="126">
        <f t="shared" si="33"/>
        <v>7291.069247971284</v>
      </c>
      <c r="H131" s="127">
        <v>38899</v>
      </c>
      <c r="J131" s="117">
        <f t="shared" si="26"/>
        <v>0.19073631662861976</v>
      </c>
      <c r="K131" s="117">
        <f t="shared" si="27"/>
        <v>0.8092636833713802</v>
      </c>
      <c r="L131" s="128"/>
      <c r="M131" s="108"/>
      <c r="N131" s="91">
        <v>68</v>
      </c>
      <c r="O131" s="129">
        <f t="shared" si="39"/>
        <v>438780.1927028545</v>
      </c>
      <c r="P131" s="89">
        <f>RATE(P28,-Q30,Q23)</f>
        <v>0.007083333333333172</v>
      </c>
      <c r="Q131" s="63">
        <f t="shared" si="28"/>
        <v>9958.837001851518</v>
      </c>
      <c r="R131" s="63">
        <f t="shared" si="34"/>
        <v>3108.026364978482</v>
      </c>
      <c r="S131" s="63">
        <f t="shared" si="35"/>
        <v>6850.810636873036</v>
      </c>
      <c r="T131" s="130">
        <v>38899</v>
      </c>
      <c r="U131" s="91">
        <v>68</v>
      </c>
      <c r="V131" s="129">
        <f t="shared" si="40"/>
        <v>315477.15832972934</v>
      </c>
      <c r="W131" s="89">
        <f>RATE(W28,-X30,X23)</f>
        <v>0.0070833333333331265</v>
      </c>
      <c r="X131" s="63">
        <f t="shared" si="41"/>
        <v>9958.837001851518</v>
      </c>
      <c r="Y131" s="63">
        <f t="shared" si="36"/>
        <v>2234.6298715021844</v>
      </c>
      <c r="Z131" s="63">
        <f t="shared" si="37"/>
        <v>7724.207130349334</v>
      </c>
      <c r="AA131" s="130">
        <v>38899</v>
      </c>
    </row>
    <row r="132" spans="1:27" ht="12.75">
      <c r="A132" s="90">
        <v>69</v>
      </c>
      <c r="B132" s="131">
        <f t="shared" si="38"/>
        <v>413551.5982564218</v>
      </c>
      <c r="C132" s="124">
        <f t="shared" si="31"/>
        <v>0.048999996</v>
      </c>
      <c r="D132" s="125">
        <f t="shared" si="29"/>
        <v>0.004083333</v>
      </c>
      <c r="E132" s="126">
        <f t="shared" si="30"/>
        <v>9009.51</v>
      </c>
      <c r="F132" s="126">
        <f t="shared" si="32"/>
        <v>1688.6688883631896</v>
      </c>
      <c r="G132" s="126">
        <f t="shared" si="33"/>
        <v>7320.841111636811</v>
      </c>
      <c r="H132" s="127">
        <v>38930</v>
      </c>
      <c r="J132" s="117">
        <f t="shared" si="26"/>
        <v>0.18743182352460783</v>
      </c>
      <c r="K132" s="117">
        <f t="shared" si="27"/>
        <v>0.8125681764753921</v>
      </c>
      <c r="L132" s="128"/>
      <c r="M132" s="108"/>
      <c r="N132" s="91">
        <v>69</v>
      </c>
      <c r="O132" s="129">
        <f t="shared" si="39"/>
        <v>431929.3820659815</v>
      </c>
      <c r="P132" s="89">
        <f>RATE(P28,-Q30,Q23)</f>
        <v>0.007083333333333172</v>
      </c>
      <c r="Q132" s="63">
        <f t="shared" si="28"/>
        <v>9958.837001851518</v>
      </c>
      <c r="R132" s="63">
        <f t="shared" si="34"/>
        <v>3059.499789633966</v>
      </c>
      <c r="S132" s="63">
        <f t="shared" si="35"/>
        <v>6899.3372122175515</v>
      </c>
      <c r="T132" s="130">
        <v>38930</v>
      </c>
      <c r="U132" s="91">
        <v>69</v>
      </c>
      <c r="V132" s="129">
        <f t="shared" si="40"/>
        <v>307752.95119938</v>
      </c>
      <c r="W132" s="89">
        <f>RATE(W28,-X30,X23)</f>
        <v>0.0070833333333331265</v>
      </c>
      <c r="X132" s="63">
        <f t="shared" si="41"/>
        <v>9958.837001851518</v>
      </c>
      <c r="Y132" s="63">
        <f t="shared" si="36"/>
        <v>2179.9167376622113</v>
      </c>
      <c r="Z132" s="63">
        <f t="shared" si="37"/>
        <v>7778.920264189306</v>
      </c>
      <c r="AA132" s="130">
        <v>38930</v>
      </c>
    </row>
    <row r="133" spans="1:27" ht="12.75">
      <c r="A133" s="90">
        <v>70</v>
      </c>
      <c r="B133" s="131">
        <f t="shared" si="38"/>
        <v>406230.75714478496</v>
      </c>
      <c r="C133" s="124">
        <f t="shared" si="31"/>
        <v>0.048999996</v>
      </c>
      <c r="D133" s="125">
        <f t="shared" si="29"/>
        <v>0.004083333</v>
      </c>
      <c r="E133" s="126">
        <f t="shared" si="30"/>
        <v>9009.51</v>
      </c>
      <c r="F133" s="126">
        <f t="shared" si="32"/>
        <v>1658.775456264286</v>
      </c>
      <c r="G133" s="126">
        <f t="shared" si="33"/>
        <v>7350.734543735714</v>
      </c>
      <c r="H133" s="127">
        <v>38961</v>
      </c>
      <c r="J133" s="117">
        <f aca="true" t="shared" si="42" ref="J133:J164">+F133/E133</f>
        <v>0.184113837074856</v>
      </c>
      <c r="K133" s="117">
        <f aca="true" t="shared" si="43" ref="K133:K164">+G133/E133</f>
        <v>0.815886162925144</v>
      </c>
      <c r="L133" s="128"/>
      <c r="M133" s="108"/>
      <c r="N133" s="91">
        <v>70</v>
      </c>
      <c r="O133" s="129">
        <f t="shared" si="39"/>
        <v>425030.04485376395</v>
      </c>
      <c r="P133" s="89">
        <f>RATE(P28,-Q30,Q23)</f>
        <v>0.007083333333333172</v>
      </c>
      <c r="Q133" s="63">
        <f t="shared" si="28"/>
        <v>9958.837001851518</v>
      </c>
      <c r="R133" s="63">
        <f t="shared" si="34"/>
        <v>3010.629484380759</v>
      </c>
      <c r="S133" s="63">
        <f t="shared" si="35"/>
        <v>6948.207517470759</v>
      </c>
      <c r="T133" s="130">
        <v>38961</v>
      </c>
      <c r="U133" s="91">
        <v>70</v>
      </c>
      <c r="V133" s="129">
        <f t="shared" si="40"/>
        <v>299974.0309351907</v>
      </c>
      <c r="W133" s="89">
        <f>RATE(W28,-X30,X23)</f>
        <v>0.0070833333333331265</v>
      </c>
      <c r="X133" s="63">
        <f t="shared" si="41"/>
        <v>9958.837001851518</v>
      </c>
      <c r="Y133" s="63">
        <f t="shared" si="36"/>
        <v>2124.8160524575387</v>
      </c>
      <c r="Z133" s="63">
        <f t="shared" si="37"/>
        <v>7834.020949393979</v>
      </c>
      <c r="AA133" s="130">
        <v>38961</v>
      </c>
    </row>
    <row r="134" spans="1:27" ht="12.75">
      <c r="A134" s="90">
        <v>71</v>
      </c>
      <c r="B134" s="131">
        <f t="shared" si="38"/>
        <v>398880.0226010493</v>
      </c>
      <c r="C134" s="124">
        <f t="shared" si="31"/>
        <v>0.048999996</v>
      </c>
      <c r="D134" s="125">
        <f t="shared" si="29"/>
        <v>0.004083333</v>
      </c>
      <c r="E134" s="126">
        <f t="shared" si="30"/>
        <v>9009.51</v>
      </c>
      <c r="F134" s="126">
        <f t="shared" si="32"/>
        <v>1628.7599593276102</v>
      </c>
      <c r="G134" s="126">
        <f t="shared" si="33"/>
        <v>7380.75004067239</v>
      </c>
      <c r="H134" s="127">
        <v>38991</v>
      </c>
      <c r="J134" s="117">
        <f t="shared" si="42"/>
        <v>0.1807823021815404</v>
      </c>
      <c r="K134" s="117">
        <f t="shared" si="43"/>
        <v>0.8192176978184597</v>
      </c>
      <c r="L134" s="128"/>
      <c r="M134" s="108"/>
      <c r="N134" s="91">
        <v>71</v>
      </c>
      <c r="O134" s="129">
        <f t="shared" si="39"/>
        <v>418081.8373362932</v>
      </c>
      <c r="P134" s="89">
        <f>RATE(P28,-Q30,Q23)</f>
        <v>0.007083333333333172</v>
      </c>
      <c r="Q134" s="63">
        <f t="shared" si="28"/>
        <v>9958.837001851518</v>
      </c>
      <c r="R134" s="63">
        <f t="shared" si="34"/>
        <v>2961.4130144653427</v>
      </c>
      <c r="S134" s="63">
        <f t="shared" si="35"/>
        <v>6997.423987386175</v>
      </c>
      <c r="T134" s="130">
        <v>38991</v>
      </c>
      <c r="U134" s="91">
        <v>71</v>
      </c>
      <c r="V134" s="129">
        <f t="shared" si="40"/>
        <v>292140.0099857967</v>
      </c>
      <c r="W134" s="89">
        <f>RATE(W28,-X30,X23)</f>
        <v>0.0070833333333331265</v>
      </c>
      <c r="X134" s="63">
        <f t="shared" si="41"/>
        <v>9958.837001851518</v>
      </c>
      <c r="Y134" s="63">
        <f t="shared" si="36"/>
        <v>2069.325070732666</v>
      </c>
      <c r="Z134" s="63">
        <f t="shared" si="37"/>
        <v>7889.511931118852</v>
      </c>
      <c r="AA134" s="130">
        <v>38991</v>
      </c>
    </row>
    <row r="135" spans="1:27" ht="12.75">
      <c r="A135" s="90">
        <v>72</v>
      </c>
      <c r="B135" s="131">
        <f t="shared" si="38"/>
        <v>391499.2725603769</v>
      </c>
      <c r="C135" s="124">
        <f t="shared" si="31"/>
        <v>0.048999996</v>
      </c>
      <c r="D135" s="125">
        <f t="shared" si="29"/>
        <v>0.004083333</v>
      </c>
      <c r="E135" s="126">
        <f t="shared" si="30"/>
        <v>9009.51</v>
      </c>
      <c r="F135" s="126">
        <f t="shared" si="32"/>
        <v>1598.6218991217813</v>
      </c>
      <c r="G135" s="126">
        <f t="shared" si="33"/>
        <v>7410.888100878219</v>
      </c>
      <c r="H135" s="127">
        <v>39022</v>
      </c>
      <c r="J135" s="117">
        <f t="shared" si="42"/>
        <v>0.17743716352185426</v>
      </c>
      <c r="K135" s="117">
        <f t="shared" si="43"/>
        <v>0.8225628364781458</v>
      </c>
      <c r="L135" s="128"/>
      <c r="M135" s="108"/>
      <c r="N135" s="91">
        <v>72</v>
      </c>
      <c r="O135" s="129">
        <f t="shared" si="39"/>
        <v>411084.413348907</v>
      </c>
      <c r="P135" s="89">
        <f>RATE(P28,-Q30,Q23)</f>
        <v>0.007083333333333172</v>
      </c>
      <c r="Q135" s="63">
        <f t="shared" si="28"/>
        <v>9958.837001851518</v>
      </c>
      <c r="R135" s="63">
        <f t="shared" si="34"/>
        <v>2911.847927888025</v>
      </c>
      <c r="S135" s="63">
        <f t="shared" si="35"/>
        <v>7046.989073963493</v>
      </c>
      <c r="T135" s="130">
        <v>39022</v>
      </c>
      <c r="U135" s="91">
        <v>72</v>
      </c>
      <c r="V135" s="129">
        <f t="shared" si="40"/>
        <v>284250.49805467785</v>
      </c>
      <c r="W135" s="89">
        <f>RATE(W28,-X30,X23)</f>
        <v>0.0070833333333331265</v>
      </c>
      <c r="X135" s="63">
        <f t="shared" si="41"/>
        <v>9958.837001851518</v>
      </c>
      <c r="Y135" s="63">
        <f t="shared" si="36"/>
        <v>2013.4410278872426</v>
      </c>
      <c r="Z135" s="63">
        <f t="shared" si="37"/>
        <v>7945.395973964275</v>
      </c>
      <c r="AA135" s="130">
        <v>39022</v>
      </c>
    </row>
    <row r="136" spans="1:27" ht="12.75">
      <c r="A136" s="90">
        <v>73</v>
      </c>
      <c r="B136" s="131">
        <f t="shared" si="38"/>
        <v>384088.3844594987</v>
      </c>
      <c r="C136" s="124">
        <f t="shared" si="31"/>
        <v>0.048999996</v>
      </c>
      <c r="D136" s="125">
        <f t="shared" si="29"/>
        <v>0.004083333</v>
      </c>
      <c r="E136" s="126">
        <f t="shared" si="30"/>
        <v>9009.51</v>
      </c>
      <c r="F136" s="126">
        <f t="shared" si="32"/>
        <v>1568.360775180158</v>
      </c>
      <c r="G136" s="126">
        <f t="shared" si="33"/>
        <v>7441.149224819842</v>
      </c>
      <c r="H136" s="127">
        <v>39052</v>
      </c>
      <c r="J136" s="117">
        <f t="shared" si="42"/>
        <v>0.17407836554708947</v>
      </c>
      <c r="K136" s="117">
        <f t="shared" si="43"/>
        <v>0.8259216344529106</v>
      </c>
      <c r="L136" s="128"/>
      <c r="M136" s="108"/>
      <c r="N136" s="91">
        <v>73</v>
      </c>
      <c r="O136" s="129">
        <f t="shared" si="39"/>
        <v>404037.42427494354</v>
      </c>
      <c r="P136" s="89">
        <f>RATE(P28,-Q30,Q23)</f>
        <v>0.007083333333333172</v>
      </c>
      <c r="Q136" s="63">
        <f t="shared" si="28"/>
        <v>9958.837001851518</v>
      </c>
      <c r="R136" s="63">
        <f t="shared" si="34"/>
        <v>2861.9317552807847</v>
      </c>
      <c r="S136" s="63">
        <f t="shared" si="35"/>
        <v>7096.905246570734</v>
      </c>
      <c r="T136" s="130">
        <v>39052</v>
      </c>
      <c r="U136" s="91">
        <v>73</v>
      </c>
      <c r="V136" s="129">
        <f t="shared" si="40"/>
        <v>276305.10208071355</v>
      </c>
      <c r="W136" s="89">
        <f>RATE(W28,-X30,X23)</f>
        <v>0.0070833333333331265</v>
      </c>
      <c r="X136" s="63">
        <f t="shared" si="41"/>
        <v>9958.837001851518</v>
      </c>
      <c r="Y136" s="63">
        <f t="shared" si="36"/>
        <v>1957.1611397383306</v>
      </c>
      <c r="Z136" s="63">
        <f t="shared" si="37"/>
        <v>8001.675862113188</v>
      </c>
      <c r="AA136" s="130">
        <v>39052</v>
      </c>
    </row>
    <row r="137" spans="1:27" ht="12.75">
      <c r="A137" s="90">
        <v>74</v>
      </c>
      <c r="B137" s="131">
        <f t="shared" si="38"/>
        <v>376647.23523467884</v>
      </c>
      <c r="C137" s="124">
        <f t="shared" si="31"/>
        <v>0.048999996</v>
      </c>
      <c r="D137" s="125">
        <f t="shared" si="29"/>
        <v>0.004083333</v>
      </c>
      <c r="E137" s="126">
        <f t="shared" si="30"/>
        <v>9009.51</v>
      </c>
      <c r="F137" s="126">
        <f t="shared" si="32"/>
        <v>1537.9760849925267</v>
      </c>
      <c r="G137" s="126">
        <f t="shared" si="33"/>
        <v>7471.533915007473</v>
      </c>
      <c r="H137" s="127">
        <v>39083</v>
      </c>
      <c r="J137" s="117">
        <f t="shared" si="42"/>
        <v>0.17070585248171394</v>
      </c>
      <c r="K137" s="117">
        <f t="shared" si="43"/>
        <v>0.829294147518286</v>
      </c>
      <c r="L137" s="128"/>
      <c r="M137" s="108"/>
      <c r="N137" s="91">
        <v>74</v>
      </c>
      <c r="O137" s="129">
        <f t="shared" si="39"/>
        <v>396940.51902837283</v>
      </c>
      <c r="P137" s="89">
        <f>RATE(P28,-Q30,Q23)</f>
        <v>0.007083333333333172</v>
      </c>
      <c r="Q137" s="63">
        <f t="shared" si="28"/>
        <v>9958.837001851518</v>
      </c>
      <c r="R137" s="63">
        <f t="shared" si="34"/>
        <v>2811.6620097842433</v>
      </c>
      <c r="S137" s="63">
        <f t="shared" si="35"/>
        <v>7147.174992067275</v>
      </c>
      <c r="T137" s="130">
        <v>39083</v>
      </c>
      <c r="U137" s="91">
        <v>74</v>
      </c>
      <c r="V137" s="129">
        <f t="shared" si="40"/>
        <v>268303.42621860036</v>
      </c>
      <c r="W137" s="89">
        <f>RATE(W28,-X30,X23)</f>
        <v>0.0070833333333331265</v>
      </c>
      <c r="X137" s="63">
        <f t="shared" si="41"/>
        <v>9958.837001851518</v>
      </c>
      <c r="Y137" s="63">
        <f t="shared" si="36"/>
        <v>1900.482602381697</v>
      </c>
      <c r="Z137" s="63">
        <f t="shared" si="37"/>
        <v>8058.354399469821</v>
      </c>
      <c r="AA137" s="130">
        <v>39083</v>
      </c>
    </row>
    <row r="138" spans="1:27" ht="12.75">
      <c r="A138" s="90">
        <v>75</v>
      </c>
      <c r="B138" s="131">
        <f t="shared" si="38"/>
        <v>369175.70131967135</v>
      </c>
      <c r="C138" s="124">
        <f t="shared" si="31"/>
        <v>0.048999996</v>
      </c>
      <c r="D138" s="125">
        <f t="shared" si="29"/>
        <v>0.004083333</v>
      </c>
      <c r="E138" s="126">
        <f t="shared" si="30"/>
        <v>9009.51</v>
      </c>
      <c r="F138" s="126">
        <f t="shared" si="32"/>
        <v>1507.4673239967574</v>
      </c>
      <c r="G138" s="126">
        <f t="shared" si="33"/>
        <v>7502.042676003242</v>
      </c>
      <c r="H138" s="127">
        <v>39114</v>
      </c>
      <c r="J138" s="117">
        <f t="shared" si="42"/>
        <v>0.16731956832244566</v>
      </c>
      <c r="K138" s="117">
        <f t="shared" si="43"/>
        <v>0.8326804316775543</v>
      </c>
      <c r="L138" s="128"/>
      <c r="M138" s="108"/>
      <c r="N138" s="91">
        <v>75</v>
      </c>
      <c r="O138" s="129">
        <f t="shared" si="39"/>
        <v>389793.34403630556</v>
      </c>
      <c r="P138" s="89">
        <f>RATE(P28,-Q30,Q23)</f>
        <v>0.007083333333333172</v>
      </c>
      <c r="Q138" s="63">
        <f t="shared" si="28"/>
        <v>9958.837001851518</v>
      </c>
      <c r="R138" s="63">
        <f t="shared" si="34"/>
        <v>2761.036186923768</v>
      </c>
      <c r="S138" s="63">
        <f t="shared" si="35"/>
        <v>7197.80081492775</v>
      </c>
      <c r="T138" s="130">
        <v>39114</v>
      </c>
      <c r="U138" s="91">
        <v>75</v>
      </c>
      <c r="V138" s="129">
        <f t="shared" si="40"/>
        <v>260245.07181913054</v>
      </c>
      <c r="W138" s="89">
        <f>RATE(W28,-X30,X23)</f>
        <v>0.0070833333333331265</v>
      </c>
      <c r="X138" s="63">
        <f t="shared" si="41"/>
        <v>9958.837001851518</v>
      </c>
      <c r="Y138" s="63">
        <f t="shared" si="36"/>
        <v>1843.4025920521208</v>
      </c>
      <c r="Z138" s="63">
        <f t="shared" si="37"/>
        <v>8115.434409799397</v>
      </c>
      <c r="AA138" s="130">
        <v>39114</v>
      </c>
    </row>
    <row r="139" spans="1:27" ht="12.75">
      <c r="A139" s="90">
        <v>76</v>
      </c>
      <c r="B139" s="131">
        <f t="shared" si="38"/>
        <v>361673.6586436681</v>
      </c>
      <c r="C139" s="124">
        <f t="shared" si="31"/>
        <v>0.048999996</v>
      </c>
      <c r="D139" s="125">
        <f t="shared" si="29"/>
        <v>0.004083333</v>
      </c>
      <c r="E139" s="126">
        <f t="shared" si="30"/>
        <v>9009.51</v>
      </c>
      <c r="F139" s="126">
        <f t="shared" si="32"/>
        <v>1476.833985570425</v>
      </c>
      <c r="G139" s="126">
        <f t="shared" si="33"/>
        <v>7532.676014429575</v>
      </c>
      <c r="H139" s="127">
        <v>39142</v>
      </c>
      <c r="J139" s="117">
        <f t="shared" si="42"/>
        <v>0.16391945683732245</v>
      </c>
      <c r="K139" s="117">
        <f t="shared" si="43"/>
        <v>0.8360805431626775</v>
      </c>
      <c r="L139" s="128"/>
      <c r="M139" s="108"/>
      <c r="N139" s="91">
        <v>76</v>
      </c>
      <c r="O139" s="129">
        <f t="shared" si="39"/>
        <v>382595.5432213778</v>
      </c>
      <c r="P139" s="89">
        <f>RATE(P28,-Q30,Q23)</f>
        <v>0.007083333333333172</v>
      </c>
      <c r="Q139" s="63">
        <f t="shared" si="28"/>
        <v>9958.837001851518</v>
      </c>
      <c r="R139" s="63">
        <f t="shared" si="34"/>
        <v>2710.0517644846977</v>
      </c>
      <c r="S139" s="63">
        <f t="shared" si="35"/>
        <v>7248.78523736682</v>
      </c>
      <c r="T139" s="130">
        <v>39142</v>
      </c>
      <c r="U139" s="91">
        <v>76</v>
      </c>
      <c r="V139" s="129">
        <f t="shared" si="40"/>
        <v>252129.63740933113</v>
      </c>
      <c r="W139" s="89">
        <f>RATE(W28,-X30,X23)</f>
        <v>0.0070833333333331265</v>
      </c>
      <c r="X139" s="63">
        <f t="shared" si="41"/>
        <v>9958.837001851518</v>
      </c>
      <c r="Y139" s="63">
        <f t="shared" si="36"/>
        <v>1785.91826498271</v>
      </c>
      <c r="Z139" s="63">
        <f t="shared" si="37"/>
        <v>8172.918736868808</v>
      </c>
      <c r="AA139" s="130">
        <v>39142</v>
      </c>
    </row>
    <row r="140" spans="1:27" ht="12.75">
      <c r="A140" s="90">
        <v>77</v>
      </c>
      <c r="B140" s="131">
        <f t="shared" si="38"/>
        <v>354140.9826292385</v>
      </c>
      <c r="C140" s="124">
        <f t="shared" si="31"/>
        <v>0.048999996</v>
      </c>
      <c r="D140" s="125">
        <f t="shared" si="29"/>
        <v>0.004083333</v>
      </c>
      <c r="E140" s="126">
        <f t="shared" si="30"/>
        <v>9009.51</v>
      </c>
      <c r="F140" s="126">
        <f t="shared" si="32"/>
        <v>1446.0755610223962</v>
      </c>
      <c r="G140" s="126">
        <f t="shared" si="33"/>
        <v>7563.434438977604</v>
      </c>
      <c r="H140" s="127">
        <v>39173</v>
      </c>
      <c r="J140" s="117">
        <f t="shared" si="42"/>
        <v>0.16050546156476836</v>
      </c>
      <c r="K140" s="117">
        <f t="shared" si="43"/>
        <v>0.8394945384352317</v>
      </c>
      <c r="L140" s="128"/>
      <c r="M140" s="108"/>
      <c r="N140" s="91">
        <v>77</v>
      </c>
      <c r="O140" s="129">
        <f t="shared" si="39"/>
        <v>375346.757984011</v>
      </c>
      <c r="P140" s="89">
        <f>RATE(P28,-Q30,Q23)</f>
        <v>0.007083333333333172</v>
      </c>
      <c r="Q140" s="63">
        <f t="shared" si="28"/>
        <v>9958.837001851518</v>
      </c>
      <c r="R140" s="63">
        <f t="shared" si="34"/>
        <v>2658.7062023866843</v>
      </c>
      <c r="S140" s="63">
        <f t="shared" si="35"/>
        <v>7300.130799464834</v>
      </c>
      <c r="T140" s="130">
        <v>39173</v>
      </c>
      <c r="U140" s="91">
        <v>77</v>
      </c>
      <c r="V140" s="129">
        <f t="shared" si="40"/>
        <v>243956.71867246233</v>
      </c>
      <c r="W140" s="89">
        <f>RATE(W28,-X30,X23)</f>
        <v>0.0070833333333331265</v>
      </c>
      <c r="X140" s="63">
        <f t="shared" si="41"/>
        <v>9958.837001851518</v>
      </c>
      <c r="Y140" s="63">
        <f t="shared" si="36"/>
        <v>1728.0267572632245</v>
      </c>
      <c r="Z140" s="63">
        <f t="shared" si="37"/>
        <v>8230.810244588294</v>
      </c>
      <c r="AA140" s="130">
        <v>39173</v>
      </c>
    </row>
    <row r="141" spans="1:27" ht="12.75">
      <c r="A141" s="90">
        <v>78</v>
      </c>
      <c r="B141" s="131">
        <f t="shared" si="38"/>
        <v>346577.5481902609</v>
      </c>
      <c r="C141" s="124">
        <f t="shared" si="31"/>
        <v>0.048999996</v>
      </c>
      <c r="D141" s="125">
        <f t="shared" si="29"/>
        <v>0.004083333</v>
      </c>
      <c r="E141" s="126">
        <f t="shared" si="30"/>
        <v>9009.51</v>
      </c>
      <c r="F141" s="126">
        <f t="shared" si="32"/>
        <v>1415.1915395843826</v>
      </c>
      <c r="G141" s="126">
        <f t="shared" si="33"/>
        <v>7594.318460415618</v>
      </c>
      <c r="H141" s="127">
        <v>39203</v>
      </c>
      <c r="J141" s="117">
        <f t="shared" si="42"/>
        <v>0.15707752581265602</v>
      </c>
      <c r="K141" s="117">
        <f t="shared" si="43"/>
        <v>0.842922474187344</v>
      </c>
      <c r="L141" s="128"/>
      <c r="M141" s="108"/>
      <c r="N141" s="91">
        <v>78</v>
      </c>
      <c r="O141" s="129">
        <f t="shared" si="39"/>
        <v>368046.6271845462</v>
      </c>
      <c r="P141" s="89">
        <f>RATE(P28,-Q30,Q23)</f>
        <v>0.007083333333333172</v>
      </c>
      <c r="Q141" s="63">
        <f t="shared" si="28"/>
        <v>9958.837001851518</v>
      </c>
      <c r="R141" s="63">
        <f t="shared" si="34"/>
        <v>2606.9969425571426</v>
      </c>
      <c r="S141" s="63">
        <f t="shared" si="35"/>
        <v>7351.840059294375</v>
      </c>
      <c r="T141" s="130">
        <v>39203</v>
      </c>
      <c r="U141" s="91">
        <v>78</v>
      </c>
      <c r="V141" s="129">
        <f t="shared" si="40"/>
        <v>235725.90842787403</v>
      </c>
      <c r="W141" s="89">
        <f>RATE(W28,-X30,X23)</f>
        <v>0.0070833333333331265</v>
      </c>
      <c r="X141" s="63">
        <f t="shared" si="41"/>
        <v>9958.837001851518</v>
      </c>
      <c r="Y141" s="63">
        <f t="shared" si="36"/>
        <v>1669.7251846973923</v>
      </c>
      <c r="Z141" s="63">
        <f t="shared" si="37"/>
        <v>8289.111817154126</v>
      </c>
      <c r="AA141" s="130">
        <v>39203</v>
      </c>
    </row>
    <row r="142" spans="1:27" ht="12.75">
      <c r="A142" s="90">
        <v>79</v>
      </c>
      <c r="B142" s="131">
        <f t="shared" si="38"/>
        <v>338983.22972984525</v>
      </c>
      <c r="C142" s="124">
        <f t="shared" si="31"/>
        <v>0.048999996</v>
      </c>
      <c r="D142" s="125">
        <f t="shared" si="29"/>
        <v>0.004083333</v>
      </c>
      <c r="E142" s="126">
        <f t="shared" si="30"/>
        <v>9009.51</v>
      </c>
      <c r="F142" s="126">
        <f t="shared" si="32"/>
        <v>1384.1814084024581</v>
      </c>
      <c r="G142" s="126">
        <f t="shared" si="33"/>
        <v>7625.328591597542</v>
      </c>
      <c r="H142" s="127">
        <v>39234</v>
      </c>
      <c r="J142" s="117">
        <f t="shared" si="42"/>
        <v>0.15363559265736518</v>
      </c>
      <c r="K142" s="117">
        <f t="shared" si="43"/>
        <v>0.8463644073426349</v>
      </c>
      <c r="L142" s="128"/>
      <c r="M142" s="108"/>
      <c r="N142" s="91">
        <v>79</v>
      </c>
      <c r="O142" s="129">
        <f t="shared" si="39"/>
        <v>360694.78712525184</v>
      </c>
      <c r="P142" s="89">
        <f>RATE(P28,-Q30,Q23)</f>
        <v>0.007083333333333172</v>
      </c>
      <c r="Q142" s="63">
        <f t="shared" si="28"/>
        <v>9958.837001851518</v>
      </c>
      <c r="R142" s="63">
        <f t="shared" si="34"/>
        <v>2554.921408803809</v>
      </c>
      <c r="S142" s="63">
        <f t="shared" si="35"/>
        <v>7403.915593047709</v>
      </c>
      <c r="T142" s="130">
        <v>39234</v>
      </c>
      <c r="U142" s="91">
        <v>79</v>
      </c>
      <c r="V142" s="129">
        <f t="shared" si="40"/>
        <v>227436.7966107199</v>
      </c>
      <c r="W142" s="89">
        <f>RATE(W28,-X30,X23)</f>
        <v>0.0070833333333331265</v>
      </c>
      <c r="X142" s="63">
        <f t="shared" si="41"/>
        <v>9958.837001851518</v>
      </c>
      <c r="Y142" s="63">
        <f t="shared" si="36"/>
        <v>1611.010642659219</v>
      </c>
      <c r="Z142" s="63">
        <f t="shared" si="37"/>
        <v>8347.826359192299</v>
      </c>
      <c r="AA142" s="130">
        <v>39234</v>
      </c>
    </row>
    <row r="143" spans="1:27" ht="12.75">
      <c r="A143" s="90">
        <v>80</v>
      </c>
      <c r="B143" s="131">
        <f t="shared" si="38"/>
        <v>331357.9011382477</v>
      </c>
      <c r="C143" s="124">
        <f t="shared" si="31"/>
        <v>0.048999996</v>
      </c>
      <c r="D143" s="125">
        <f t="shared" si="29"/>
        <v>0.004083333</v>
      </c>
      <c r="E143" s="126">
        <f t="shared" si="30"/>
        <v>9009.51</v>
      </c>
      <c r="F143" s="126">
        <f t="shared" si="32"/>
        <v>1353.0446525285442</v>
      </c>
      <c r="G143" s="126">
        <f t="shared" si="33"/>
        <v>7656.465347471456</v>
      </c>
      <c r="H143" s="127">
        <v>39264</v>
      </c>
      <c r="J143" s="117">
        <f t="shared" si="42"/>
        <v>0.15017960494283752</v>
      </c>
      <c r="K143" s="117">
        <f t="shared" si="43"/>
        <v>0.8498203950571624</v>
      </c>
      <c r="L143" s="128"/>
      <c r="M143" s="108"/>
      <c r="N143" s="91">
        <v>80</v>
      </c>
      <c r="O143" s="129">
        <f t="shared" si="39"/>
        <v>353290.87153220415</v>
      </c>
      <c r="P143" s="89">
        <f>RATE(P28,-Q30,Q23)</f>
        <v>0.007083333333333172</v>
      </c>
      <c r="Q143" s="63">
        <f t="shared" si="28"/>
        <v>9958.837001851518</v>
      </c>
      <c r="R143" s="63">
        <f t="shared" si="34"/>
        <v>2502.477006686389</v>
      </c>
      <c r="S143" s="63">
        <f t="shared" si="35"/>
        <v>7456.359995165129</v>
      </c>
      <c r="T143" s="130">
        <v>39264</v>
      </c>
      <c r="U143" s="91">
        <v>80</v>
      </c>
      <c r="V143" s="129">
        <f t="shared" si="40"/>
        <v>219088.97025152761</v>
      </c>
      <c r="W143" s="89">
        <f>RATE(W28,-X30,X23)</f>
        <v>0.0070833333333331265</v>
      </c>
      <c r="X143" s="63">
        <f t="shared" si="41"/>
        <v>9958.837001851518</v>
      </c>
      <c r="Y143" s="63">
        <f t="shared" si="36"/>
        <v>1551.8802059482753</v>
      </c>
      <c r="Z143" s="63">
        <f t="shared" si="37"/>
        <v>8406.956795903243</v>
      </c>
      <c r="AA143" s="130">
        <v>39264</v>
      </c>
    </row>
    <row r="144" spans="1:27" ht="12.75">
      <c r="A144" s="90">
        <v>81</v>
      </c>
      <c r="B144" s="131">
        <f t="shared" si="38"/>
        <v>323701.4357907762</v>
      </c>
      <c r="C144" s="124">
        <f t="shared" si="31"/>
        <v>0.048999996</v>
      </c>
      <c r="D144" s="125">
        <f t="shared" si="29"/>
        <v>0.004083333</v>
      </c>
      <c r="E144" s="126">
        <f t="shared" si="30"/>
        <v>9009.51</v>
      </c>
      <c r="F144" s="126">
        <f t="shared" si="32"/>
        <v>1321.7807549118575</v>
      </c>
      <c r="G144" s="126">
        <f t="shared" si="33"/>
        <v>7687.729245088143</v>
      </c>
      <c r="H144" s="127">
        <v>39295</v>
      </c>
      <c r="J144" s="117">
        <f t="shared" si="42"/>
        <v>0.14670950527962756</v>
      </c>
      <c r="K144" s="117">
        <f t="shared" si="43"/>
        <v>0.8532904947203724</v>
      </c>
      <c r="L144" s="128"/>
      <c r="M144" s="108"/>
      <c r="N144" s="91">
        <v>81</v>
      </c>
      <c r="O144" s="129">
        <f t="shared" si="39"/>
        <v>345834.511537039</v>
      </c>
      <c r="P144" s="89">
        <f>RATE(P28,-Q30,Q23)</f>
        <v>0.007083333333333172</v>
      </c>
      <c r="Q144" s="63">
        <f t="shared" si="28"/>
        <v>9958.837001851518</v>
      </c>
      <c r="R144" s="63">
        <f t="shared" si="34"/>
        <v>2449.6611233873036</v>
      </c>
      <c r="S144" s="63">
        <f t="shared" si="35"/>
        <v>7509.175878464214</v>
      </c>
      <c r="T144" s="130">
        <v>39295</v>
      </c>
      <c r="U144" s="91">
        <v>81</v>
      </c>
      <c r="V144" s="129">
        <f t="shared" si="40"/>
        <v>210682.01345562437</v>
      </c>
      <c r="W144" s="89">
        <f>RATE(W28,-X30,X23)</f>
        <v>0.0070833333333331265</v>
      </c>
      <c r="X144" s="63">
        <f t="shared" si="41"/>
        <v>9958.837001851518</v>
      </c>
      <c r="Y144" s="63">
        <f t="shared" si="36"/>
        <v>1492.3309286439624</v>
      </c>
      <c r="Z144" s="63">
        <f t="shared" si="37"/>
        <v>8466.506073207556</v>
      </c>
      <c r="AA144" s="130">
        <v>39295</v>
      </c>
    </row>
    <row r="145" spans="1:27" ht="12.75">
      <c r="A145" s="90">
        <v>82</v>
      </c>
      <c r="B145" s="131">
        <f t="shared" si="38"/>
        <v>316013.7065456881</v>
      </c>
      <c r="C145" s="124">
        <f t="shared" si="31"/>
        <v>0.048999996</v>
      </c>
      <c r="D145" s="125">
        <f t="shared" si="29"/>
        <v>0.004083333</v>
      </c>
      <c r="E145" s="126">
        <f t="shared" si="30"/>
        <v>9009.51</v>
      </c>
      <c r="F145" s="126">
        <f t="shared" si="32"/>
        <v>1290.389196390324</v>
      </c>
      <c r="G145" s="126">
        <f t="shared" si="33"/>
        <v>7719.120803609676</v>
      </c>
      <c r="H145" s="127">
        <v>39326</v>
      </c>
      <c r="J145" s="117">
        <f t="shared" si="42"/>
        <v>0.14322523604394957</v>
      </c>
      <c r="K145" s="117">
        <f t="shared" si="43"/>
        <v>0.8567747639560505</v>
      </c>
      <c r="L145" s="128"/>
      <c r="M145" s="108"/>
      <c r="N145" s="91">
        <v>82</v>
      </c>
      <c r="O145" s="129">
        <f t="shared" si="39"/>
        <v>338325.3356585748</v>
      </c>
      <c r="P145" s="89">
        <f>RATE(P28,-Q30,Q23)</f>
        <v>0.007083333333333172</v>
      </c>
      <c r="Q145" s="63">
        <f t="shared" si="28"/>
        <v>9958.837001851518</v>
      </c>
      <c r="R145" s="63">
        <f t="shared" si="34"/>
        <v>2396.471127581517</v>
      </c>
      <c r="S145" s="63">
        <f t="shared" si="35"/>
        <v>7562.365874270001</v>
      </c>
      <c r="T145" s="130">
        <v>39326</v>
      </c>
      <c r="U145" s="91">
        <v>82</v>
      </c>
      <c r="V145" s="129">
        <f t="shared" si="40"/>
        <v>202215.5073824168</v>
      </c>
      <c r="W145" s="89">
        <f>RATE(W28,-X30,X23)</f>
        <v>0.0070833333333331265</v>
      </c>
      <c r="X145" s="63">
        <f t="shared" si="41"/>
        <v>9958.837001851518</v>
      </c>
      <c r="Y145" s="63">
        <f t="shared" si="36"/>
        <v>1432.3598439587438</v>
      </c>
      <c r="Z145" s="63">
        <f t="shared" si="37"/>
        <v>8526.477157892774</v>
      </c>
      <c r="AA145" s="130">
        <v>39326</v>
      </c>
    </row>
    <row r="146" spans="1:27" ht="12.75">
      <c r="A146" s="132">
        <v>83</v>
      </c>
      <c r="B146" s="142">
        <f t="shared" si="38"/>
        <v>308294.58574207843</v>
      </c>
      <c r="C146" s="133">
        <f t="shared" si="31"/>
        <v>0.07565000000000001</v>
      </c>
      <c r="D146" s="134">
        <f>7.565%/12</f>
        <v>0.006304166666666667</v>
      </c>
      <c r="E146" s="135">
        <f>+AE109</f>
        <v>9148.972532286369</v>
      </c>
      <c r="F146" s="135">
        <f t="shared" si="32"/>
        <v>1943.5404509490195</v>
      </c>
      <c r="G146" s="135">
        <f t="shared" si="33"/>
        <v>7205.432081337349</v>
      </c>
      <c r="H146" s="136">
        <v>39356</v>
      </c>
      <c r="J146" s="117">
        <f t="shared" si="42"/>
        <v>0.21243264684535237</v>
      </c>
      <c r="K146" s="117">
        <f t="shared" si="43"/>
        <v>0.7875673531546475</v>
      </c>
      <c r="L146" s="128"/>
      <c r="M146" s="108"/>
      <c r="N146" s="91">
        <v>83</v>
      </c>
      <c r="O146" s="129">
        <f t="shared" si="39"/>
        <v>330762.96978430485</v>
      </c>
      <c r="P146" s="89">
        <f>RATE(P28,-Q30,Q23)</f>
        <v>0.007083333333333172</v>
      </c>
      <c r="Q146" s="63">
        <f aca="true" t="shared" si="44" ref="Q146:Q177">+Q145</f>
        <v>9958.837001851518</v>
      </c>
      <c r="R146" s="63">
        <f t="shared" si="34"/>
        <v>2342.904369305439</v>
      </c>
      <c r="S146" s="63">
        <f t="shared" si="35"/>
        <v>7615.932632546079</v>
      </c>
      <c r="T146" s="130">
        <v>39356</v>
      </c>
      <c r="U146" s="91">
        <v>83</v>
      </c>
      <c r="V146" s="129">
        <f t="shared" si="40"/>
        <v>193689.03022452403</v>
      </c>
      <c r="W146" s="89">
        <f>RATE(W28,-X30,X23)</f>
        <v>0.0070833333333331265</v>
      </c>
      <c r="X146" s="63">
        <f t="shared" si="41"/>
        <v>9958.837001851518</v>
      </c>
      <c r="Y146" s="63">
        <f t="shared" si="36"/>
        <v>1371.9639640903385</v>
      </c>
      <c r="Z146" s="63">
        <f t="shared" si="37"/>
        <v>8586.87303776118</v>
      </c>
      <c r="AA146" s="130">
        <v>39356</v>
      </c>
    </row>
    <row r="147" spans="1:27" ht="12.75">
      <c r="A147" s="90">
        <v>84</v>
      </c>
      <c r="B147" s="131">
        <f t="shared" si="38"/>
        <v>301089.15366074105</v>
      </c>
      <c r="C147" s="124">
        <f t="shared" si="31"/>
        <v>0.07565000000000001</v>
      </c>
      <c r="D147" s="125">
        <f aca="true" t="shared" si="45" ref="D147:D183">+D146</f>
        <v>0.006304166666666667</v>
      </c>
      <c r="E147" s="126">
        <f aca="true" t="shared" si="46" ref="E147:E183">+E146</f>
        <v>9148.972532286369</v>
      </c>
      <c r="F147" s="126">
        <f t="shared" si="32"/>
        <v>1898.1162062029218</v>
      </c>
      <c r="G147" s="126">
        <f t="shared" si="33"/>
        <v>7250.856326083447</v>
      </c>
      <c r="H147" s="127">
        <v>39387</v>
      </c>
      <c r="J147" s="117">
        <f t="shared" si="42"/>
        <v>0.20746769098983994</v>
      </c>
      <c r="K147" s="117">
        <f t="shared" si="43"/>
        <v>0.79253230901016</v>
      </c>
      <c r="L147" s="128"/>
      <c r="M147" s="108"/>
      <c r="N147" s="91">
        <v>84</v>
      </c>
      <c r="O147" s="129">
        <f t="shared" si="39"/>
        <v>323147.0371517588</v>
      </c>
      <c r="P147" s="89">
        <f>RATE(P28,-Q30,Q23)</f>
        <v>0.007083333333333172</v>
      </c>
      <c r="Q147" s="63">
        <f t="shared" si="44"/>
        <v>9958.837001851518</v>
      </c>
      <c r="R147" s="63">
        <f t="shared" si="34"/>
        <v>2288.958179824906</v>
      </c>
      <c r="S147" s="63">
        <f t="shared" si="35"/>
        <v>7669.878822026612</v>
      </c>
      <c r="T147" s="130">
        <v>39387</v>
      </c>
      <c r="U147" s="91">
        <v>84</v>
      </c>
      <c r="V147" s="129">
        <f t="shared" si="40"/>
        <v>185102.15718676284</v>
      </c>
      <c r="W147" s="89">
        <f>RATE(W28,-X30,X23)</f>
        <v>0.0070833333333331265</v>
      </c>
      <c r="X147" s="63">
        <f t="shared" si="41"/>
        <v>9958.837001851518</v>
      </c>
      <c r="Y147" s="63">
        <f t="shared" si="36"/>
        <v>1311.1402800728652</v>
      </c>
      <c r="Z147" s="63">
        <f t="shared" si="37"/>
        <v>8647.696721778653</v>
      </c>
      <c r="AA147" s="130">
        <v>39387</v>
      </c>
    </row>
    <row r="148" spans="1:27" ht="12.75">
      <c r="A148" s="90">
        <v>85</v>
      </c>
      <c r="B148" s="131">
        <f t="shared" si="38"/>
        <v>293838.29733465763</v>
      </c>
      <c r="C148" s="124">
        <f t="shared" si="31"/>
        <v>0.07565000000000001</v>
      </c>
      <c r="D148" s="125">
        <f t="shared" si="45"/>
        <v>0.006304166666666667</v>
      </c>
      <c r="E148" s="126">
        <f t="shared" si="46"/>
        <v>9148.972532286369</v>
      </c>
      <c r="F148" s="126">
        <f t="shared" si="32"/>
        <v>1852.4055994472376</v>
      </c>
      <c r="G148" s="126">
        <f t="shared" si="33"/>
        <v>7296.566932839131</v>
      </c>
      <c r="H148" s="127">
        <v>39417</v>
      </c>
      <c r="J148" s="117">
        <f t="shared" si="42"/>
        <v>0.20247143522512176</v>
      </c>
      <c r="K148" s="117">
        <f t="shared" si="43"/>
        <v>0.7975285647748783</v>
      </c>
      <c r="L148" s="128"/>
      <c r="M148" s="108"/>
      <c r="N148" s="91">
        <v>85</v>
      </c>
      <c r="O148" s="129">
        <f t="shared" si="39"/>
        <v>315477.1583297322</v>
      </c>
      <c r="P148" s="89">
        <f>RATE(P28,-Q30,Q23)</f>
        <v>0.007083333333333172</v>
      </c>
      <c r="Q148" s="63">
        <f t="shared" si="44"/>
        <v>9958.837001851518</v>
      </c>
      <c r="R148" s="63">
        <f t="shared" si="34"/>
        <v>2234.6298715022185</v>
      </c>
      <c r="S148" s="63">
        <f t="shared" si="35"/>
        <v>7724.207130349299</v>
      </c>
      <c r="T148" s="130">
        <v>39417</v>
      </c>
      <c r="U148" s="91">
        <v>85</v>
      </c>
      <c r="V148" s="129">
        <f t="shared" si="40"/>
        <v>176454.46046498418</v>
      </c>
      <c r="W148" s="89">
        <f>RATE(W28,-X30,X23)</f>
        <v>0.0070833333333331265</v>
      </c>
      <c r="X148" s="63">
        <f t="shared" si="41"/>
        <v>9958.837001851518</v>
      </c>
      <c r="Y148" s="63">
        <f t="shared" si="36"/>
        <v>1249.8857616269347</v>
      </c>
      <c r="Z148" s="63">
        <f t="shared" si="37"/>
        <v>8708.951240224584</v>
      </c>
      <c r="AA148" s="130">
        <v>39417</v>
      </c>
    </row>
    <row r="149" spans="1:27" ht="12.75">
      <c r="A149" s="90">
        <v>86</v>
      </c>
      <c r="B149" s="131">
        <f t="shared" si="38"/>
        <v>286541.7304018185</v>
      </c>
      <c r="C149" s="124">
        <f t="shared" si="31"/>
        <v>0.07565000000000001</v>
      </c>
      <c r="D149" s="125">
        <f t="shared" si="45"/>
        <v>0.006304166666666667</v>
      </c>
      <c r="E149" s="126">
        <f t="shared" si="46"/>
        <v>9148.972532286369</v>
      </c>
      <c r="F149" s="126">
        <f t="shared" si="32"/>
        <v>1806.406825408131</v>
      </c>
      <c r="G149" s="126">
        <f t="shared" si="33"/>
        <v>7342.5657068782375</v>
      </c>
      <c r="H149" s="127">
        <v>39448</v>
      </c>
      <c r="J149" s="117">
        <f t="shared" si="42"/>
        <v>0.19744368223135347</v>
      </c>
      <c r="K149" s="117">
        <f t="shared" si="43"/>
        <v>0.8025563177686466</v>
      </c>
      <c r="L149" s="128"/>
      <c r="M149" s="108"/>
      <c r="N149" s="91">
        <v>86</v>
      </c>
      <c r="O149" s="129">
        <f t="shared" si="39"/>
        <v>307752.9511993829</v>
      </c>
      <c r="P149" s="89">
        <f>RATE(P28,-Q30,Q23)</f>
        <v>0.007083333333333172</v>
      </c>
      <c r="Q149" s="63">
        <f t="shared" si="44"/>
        <v>9958.837001851518</v>
      </c>
      <c r="R149" s="63">
        <f t="shared" si="34"/>
        <v>2179.916737662246</v>
      </c>
      <c r="S149" s="63">
        <f t="shared" si="35"/>
        <v>7778.920264189272</v>
      </c>
      <c r="T149" s="130">
        <v>39448</v>
      </c>
      <c r="U149" s="91">
        <v>86</v>
      </c>
      <c r="V149" s="129">
        <f t="shared" si="40"/>
        <v>167745.5092247596</v>
      </c>
      <c r="W149" s="89">
        <f>RATE(W28,-X30,X23)</f>
        <v>0.0070833333333331265</v>
      </c>
      <c r="X149" s="63">
        <f t="shared" si="41"/>
        <v>9958.837001851518</v>
      </c>
      <c r="Y149" s="63">
        <f t="shared" si="36"/>
        <v>1188.197357008679</v>
      </c>
      <c r="Z149" s="63">
        <f t="shared" si="37"/>
        <v>8770.639644842839</v>
      </c>
      <c r="AA149" s="130">
        <v>39448</v>
      </c>
    </row>
    <row r="150" spans="1:27" ht="12.75">
      <c r="A150" s="90">
        <v>87</v>
      </c>
      <c r="B150" s="131">
        <f t="shared" si="38"/>
        <v>279199.16469494026</v>
      </c>
      <c r="C150" s="124">
        <f t="shared" si="31"/>
        <v>0.07565000000000001</v>
      </c>
      <c r="D150" s="125">
        <f t="shared" si="45"/>
        <v>0.006304166666666667</v>
      </c>
      <c r="E150" s="126">
        <f t="shared" si="46"/>
        <v>9148.972532286369</v>
      </c>
      <c r="F150" s="126">
        <f t="shared" si="32"/>
        <v>1760.1180674310194</v>
      </c>
      <c r="G150" s="126">
        <f t="shared" si="33"/>
        <v>7388.854464855349</v>
      </c>
      <c r="H150" s="127">
        <v>39479</v>
      </c>
      <c r="J150" s="117">
        <f t="shared" si="42"/>
        <v>0.1923842334447536</v>
      </c>
      <c r="K150" s="117">
        <f t="shared" si="43"/>
        <v>0.8076157665552464</v>
      </c>
      <c r="L150" s="128"/>
      <c r="M150" s="108"/>
      <c r="N150" s="91">
        <v>87</v>
      </c>
      <c r="O150" s="129">
        <f t="shared" si="39"/>
        <v>299974.03093519364</v>
      </c>
      <c r="P150" s="89">
        <f>RATE(P28,-Q30,Q23)</f>
        <v>0.007083333333333172</v>
      </c>
      <c r="Q150" s="63">
        <f t="shared" si="44"/>
        <v>9958.837001851518</v>
      </c>
      <c r="R150" s="63">
        <f t="shared" si="34"/>
        <v>2124.8160524575733</v>
      </c>
      <c r="S150" s="63">
        <f t="shared" si="35"/>
        <v>7834.020949393945</v>
      </c>
      <c r="T150" s="130">
        <v>39479</v>
      </c>
      <c r="U150" s="91">
        <v>87</v>
      </c>
      <c r="V150" s="129">
        <f t="shared" si="40"/>
        <v>158974.86957991676</v>
      </c>
      <c r="W150" s="89">
        <f>RATE(W28,-X30,X23)</f>
        <v>0.0070833333333331265</v>
      </c>
      <c r="X150" s="63">
        <f t="shared" si="41"/>
        <v>9958.837001851518</v>
      </c>
      <c r="Y150" s="63">
        <f t="shared" si="36"/>
        <v>1126.071992857711</v>
      </c>
      <c r="Z150" s="63">
        <f t="shared" si="37"/>
        <v>8832.765008993807</v>
      </c>
      <c r="AA150" s="130">
        <v>39479</v>
      </c>
    </row>
    <row r="151" spans="1:27" ht="12.75">
      <c r="A151" s="90">
        <v>88</v>
      </c>
      <c r="B151" s="131">
        <f t="shared" si="38"/>
        <v>271810.3102300849</v>
      </c>
      <c r="C151" s="124">
        <f t="shared" si="31"/>
        <v>0.07565000000000001</v>
      </c>
      <c r="D151" s="125">
        <f t="shared" si="45"/>
        <v>0.006304166666666667</v>
      </c>
      <c r="E151" s="126">
        <f t="shared" si="46"/>
        <v>9148.972532286369</v>
      </c>
      <c r="F151" s="126">
        <f t="shared" si="32"/>
        <v>1713.5374974088272</v>
      </c>
      <c r="G151" s="126">
        <f t="shared" si="33"/>
        <v>7435.4350348775415</v>
      </c>
      <c r="H151" s="127">
        <v>39508</v>
      </c>
      <c r="J151" s="117">
        <f t="shared" si="42"/>
        <v>0.1872928890497616</v>
      </c>
      <c r="K151" s="117">
        <f t="shared" si="43"/>
        <v>0.8127071109502384</v>
      </c>
      <c r="L151" s="128"/>
      <c r="M151" s="108"/>
      <c r="N151" s="91">
        <v>88</v>
      </c>
      <c r="O151" s="129">
        <f t="shared" si="39"/>
        <v>292140.0099857997</v>
      </c>
      <c r="P151" s="89">
        <f>RATE(P28,-Q30,Q23)</f>
        <v>0.007083333333333172</v>
      </c>
      <c r="Q151" s="63">
        <f t="shared" si="44"/>
        <v>9958.837001851518</v>
      </c>
      <c r="R151" s="63">
        <f t="shared" si="34"/>
        <v>2069.3250707327006</v>
      </c>
      <c r="S151" s="63">
        <f t="shared" si="35"/>
        <v>7889.511931118817</v>
      </c>
      <c r="T151" s="130">
        <v>39508</v>
      </c>
      <c r="U151" s="91">
        <v>88</v>
      </c>
      <c r="V151" s="129">
        <f t="shared" si="40"/>
        <v>150142.10457092297</v>
      </c>
      <c r="W151" s="89">
        <f>RATE(W28,-X30,X23)</f>
        <v>0.0070833333333331265</v>
      </c>
      <c r="X151" s="63">
        <f t="shared" si="41"/>
        <v>9958.837001851518</v>
      </c>
      <c r="Y151" s="63">
        <f t="shared" si="36"/>
        <v>1063.5065740440066</v>
      </c>
      <c r="Z151" s="63">
        <f t="shared" si="37"/>
        <v>8895.330427807512</v>
      </c>
      <c r="AA151" s="130">
        <v>39508</v>
      </c>
    </row>
    <row r="152" spans="1:27" ht="12.75">
      <c r="A152" s="90">
        <v>89</v>
      </c>
      <c r="B152" s="131">
        <f t="shared" si="38"/>
        <v>264374.87519520737</v>
      </c>
      <c r="C152" s="124">
        <f t="shared" si="31"/>
        <v>0.07565000000000001</v>
      </c>
      <c r="D152" s="125">
        <f t="shared" si="45"/>
        <v>0.006304166666666667</v>
      </c>
      <c r="E152" s="126">
        <f t="shared" si="46"/>
        <v>9148.972532286369</v>
      </c>
      <c r="F152" s="126">
        <f t="shared" si="32"/>
        <v>1666.6632757097866</v>
      </c>
      <c r="G152" s="126">
        <f t="shared" si="33"/>
        <v>7482.309256576582</v>
      </c>
      <c r="H152" s="127">
        <v>39539</v>
      </c>
      <c r="J152" s="117">
        <f t="shared" si="42"/>
        <v>0.18216944797114612</v>
      </c>
      <c r="K152" s="117">
        <f t="shared" si="43"/>
        <v>0.8178305520288539</v>
      </c>
      <c r="L152" s="128"/>
      <c r="M152" s="108"/>
      <c r="N152" s="91">
        <v>89</v>
      </c>
      <c r="O152" s="129">
        <f t="shared" si="39"/>
        <v>284250.4980546809</v>
      </c>
      <c r="P152" s="89">
        <f>RATE(P28,-Q30,Q23)</f>
        <v>0.007083333333333172</v>
      </c>
      <c r="Q152" s="63">
        <f t="shared" si="44"/>
        <v>9958.837001851518</v>
      </c>
      <c r="R152" s="63">
        <f t="shared" si="34"/>
        <v>2013.441027887277</v>
      </c>
      <c r="S152" s="63">
        <f t="shared" si="35"/>
        <v>7945.395973964241</v>
      </c>
      <c r="T152" s="130">
        <v>39539</v>
      </c>
      <c r="U152" s="91">
        <v>89</v>
      </c>
      <c r="V152" s="129">
        <f t="shared" si="40"/>
        <v>141246.77414311544</v>
      </c>
      <c r="W152" s="89">
        <f>RATE(W28,-X30,X23)</f>
        <v>0.0070833333333331265</v>
      </c>
      <c r="X152" s="63">
        <f t="shared" si="41"/>
        <v>9958.837001851518</v>
      </c>
      <c r="Y152" s="63">
        <f t="shared" si="36"/>
        <v>1000.4979835137052</v>
      </c>
      <c r="Z152" s="63">
        <f t="shared" si="37"/>
        <v>8958.339018337812</v>
      </c>
      <c r="AA152" s="130">
        <v>39539</v>
      </c>
    </row>
    <row r="153" spans="1:27" ht="12.75">
      <c r="A153" s="90">
        <v>90</v>
      </c>
      <c r="B153" s="131">
        <f t="shared" si="38"/>
        <v>256892.56593863078</v>
      </c>
      <c r="C153" s="124">
        <f t="shared" si="31"/>
        <v>0.07565000000000001</v>
      </c>
      <c r="D153" s="125">
        <f t="shared" si="45"/>
        <v>0.006304166666666667</v>
      </c>
      <c r="E153" s="126">
        <f t="shared" si="46"/>
        <v>9148.972532286369</v>
      </c>
      <c r="F153" s="126">
        <f t="shared" si="32"/>
        <v>1619.493551104785</v>
      </c>
      <c r="G153" s="126">
        <f t="shared" si="33"/>
        <v>7529.478981181584</v>
      </c>
      <c r="H153" s="127">
        <v>39569</v>
      </c>
      <c r="J153" s="117">
        <f t="shared" si="42"/>
        <v>0.1770137078660642</v>
      </c>
      <c r="K153" s="117">
        <f t="shared" si="43"/>
        <v>0.8229862921339358</v>
      </c>
      <c r="L153" s="128"/>
      <c r="M153" s="108"/>
      <c r="N153" s="91">
        <v>90</v>
      </c>
      <c r="O153" s="129">
        <f t="shared" si="39"/>
        <v>276305.10208071664</v>
      </c>
      <c r="P153" s="89">
        <f>RATE(P28,-Q30,Q23)</f>
        <v>0.007083333333333172</v>
      </c>
      <c r="Q153" s="63">
        <f t="shared" si="44"/>
        <v>9958.837001851518</v>
      </c>
      <c r="R153" s="63">
        <f t="shared" si="34"/>
        <v>1957.161139738365</v>
      </c>
      <c r="S153" s="63">
        <f t="shared" si="35"/>
        <v>8001.675862113153</v>
      </c>
      <c r="T153" s="130">
        <v>39569</v>
      </c>
      <c r="U153" s="91">
        <v>90</v>
      </c>
      <c r="V153" s="129">
        <f t="shared" si="40"/>
        <v>132288.43512477764</v>
      </c>
      <c r="W153" s="89">
        <f>RATE(W28,-X30,X23)</f>
        <v>0.0070833333333331265</v>
      </c>
      <c r="X153" s="63">
        <f t="shared" si="41"/>
        <v>9958.837001851518</v>
      </c>
      <c r="Y153" s="63">
        <f t="shared" si="36"/>
        <v>937.0430821338142</v>
      </c>
      <c r="Z153" s="63">
        <f t="shared" si="37"/>
        <v>9021.793919717704</v>
      </c>
      <c r="AA153" s="130">
        <v>39569</v>
      </c>
    </row>
    <row r="154" spans="1:27" ht="12.75">
      <c r="A154" s="90">
        <v>91</v>
      </c>
      <c r="B154" s="131">
        <f t="shared" si="38"/>
        <v>249363.0869574492</v>
      </c>
      <c r="C154" s="124">
        <f t="shared" si="31"/>
        <v>0.07565000000000001</v>
      </c>
      <c r="D154" s="125">
        <f t="shared" si="45"/>
        <v>0.006304166666666667</v>
      </c>
      <c r="E154" s="126">
        <f t="shared" si="46"/>
        <v>9148.972532286369</v>
      </c>
      <c r="F154" s="126">
        <f t="shared" si="32"/>
        <v>1572.0264606942528</v>
      </c>
      <c r="G154" s="126">
        <f t="shared" si="33"/>
        <v>7576.946071592116</v>
      </c>
      <c r="H154" s="127">
        <v>39600</v>
      </c>
      <c r="J154" s="117">
        <f t="shared" si="42"/>
        <v>0.17182546511606986</v>
      </c>
      <c r="K154" s="117">
        <f t="shared" si="43"/>
        <v>0.8281745348839301</v>
      </c>
      <c r="L154" s="128"/>
      <c r="M154" s="108"/>
      <c r="N154" s="91">
        <v>91</v>
      </c>
      <c r="O154" s="129">
        <f t="shared" si="39"/>
        <v>268303.4262186035</v>
      </c>
      <c r="P154" s="89">
        <f>RATE(P28,-Q30,Q23)</f>
        <v>0.007083333333333172</v>
      </c>
      <c r="Q154" s="63">
        <f t="shared" si="44"/>
        <v>9958.837001851518</v>
      </c>
      <c r="R154" s="63">
        <f t="shared" si="34"/>
        <v>1900.4826023817313</v>
      </c>
      <c r="S154" s="63">
        <f t="shared" si="35"/>
        <v>8058.354399469787</v>
      </c>
      <c r="T154" s="130">
        <v>39600</v>
      </c>
      <c r="U154" s="91">
        <v>91</v>
      </c>
      <c r="V154" s="129">
        <f t="shared" si="40"/>
        <v>123266.64120505993</v>
      </c>
      <c r="W154" s="89">
        <f>RATE(W28,-X30,X23)</f>
        <v>0.0070833333333331265</v>
      </c>
      <c r="X154" s="63">
        <f t="shared" si="41"/>
        <v>9958.837001851518</v>
      </c>
      <c r="Y154" s="63">
        <f t="shared" si="36"/>
        <v>873.1387085358157</v>
      </c>
      <c r="Z154" s="63">
        <f t="shared" si="37"/>
        <v>9085.698293315701</v>
      </c>
      <c r="AA154" s="130">
        <v>39600</v>
      </c>
    </row>
    <row r="155" spans="1:27" ht="12.75">
      <c r="A155" s="90">
        <v>92</v>
      </c>
      <c r="B155" s="131">
        <f t="shared" si="38"/>
        <v>241786.1408858571</v>
      </c>
      <c r="C155" s="124">
        <f t="shared" si="31"/>
        <v>0.07565000000000001</v>
      </c>
      <c r="D155" s="125">
        <f t="shared" si="45"/>
        <v>0.006304166666666667</v>
      </c>
      <c r="E155" s="126">
        <f t="shared" si="46"/>
        <v>9148.972532286369</v>
      </c>
      <c r="F155" s="126">
        <f t="shared" si="32"/>
        <v>1524.260129834591</v>
      </c>
      <c r="G155" s="126">
        <f t="shared" si="33"/>
        <v>7624.712402451778</v>
      </c>
      <c r="H155" s="127">
        <v>39630</v>
      </c>
      <c r="J155" s="117">
        <f t="shared" si="42"/>
        <v>0.16660451481907243</v>
      </c>
      <c r="K155" s="117">
        <f t="shared" si="43"/>
        <v>0.8333954851809275</v>
      </c>
      <c r="L155" s="128"/>
      <c r="M155" s="108"/>
      <c r="N155" s="91">
        <v>92</v>
      </c>
      <c r="O155" s="129">
        <f t="shared" si="39"/>
        <v>260245.0718191337</v>
      </c>
      <c r="P155" s="89">
        <f>RATE(P28,-Q30,Q23)</f>
        <v>0.007083333333333172</v>
      </c>
      <c r="Q155" s="63">
        <f t="shared" si="44"/>
        <v>9958.837001851518</v>
      </c>
      <c r="R155" s="63">
        <f t="shared" si="34"/>
        <v>1843.4025920521551</v>
      </c>
      <c r="S155" s="63">
        <f t="shared" si="35"/>
        <v>8115.434409799363</v>
      </c>
      <c r="T155" s="130">
        <v>39630</v>
      </c>
      <c r="U155" s="91">
        <v>92</v>
      </c>
      <c r="V155" s="129">
        <f t="shared" si="40"/>
        <v>114180.94291174423</v>
      </c>
      <c r="W155" s="89">
        <f>RATE(W28,-X30,X23)</f>
        <v>0.0070833333333331265</v>
      </c>
      <c r="X155" s="63">
        <f t="shared" si="41"/>
        <v>9958.837001851518</v>
      </c>
      <c r="Y155" s="63">
        <f t="shared" si="36"/>
        <v>808.7816789581647</v>
      </c>
      <c r="Z155" s="63">
        <f t="shared" si="37"/>
        <v>9150.055322893353</v>
      </c>
      <c r="AA155" s="130">
        <v>39630</v>
      </c>
    </row>
    <row r="156" spans="1:27" ht="12.75">
      <c r="A156" s="90">
        <v>93</v>
      </c>
      <c r="B156" s="131">
        <f t="shared" si="38"/>
        <v>234161.42848340533</v>
      </c>
      <c r="C156" s="124">
        <f t="shared" si="31"/>
        <v>0.07565000000000001</v>
      </c>
      <c r="D156" s="125">
        <f t="shared" si="45"/>
        <v>0.006304166666666667</v>
      </c>
      <c r="E156" s="126">
        <f t="shared" si="46"/>
        <v>9148.972532286369</v>
      </c>
      <c r="F156" s="126">
        <f t="shared" si="32"/>
        <v>1476.1926720641345</v>
      </c>
      <c r="G156" s="126">
        <f t="shared" si="33"/>
        <v>7672.779860222234</v>
      </c>
      <c r="H156" s="127">
        <v>39661</v>
      </c>
      <c r="J156" s="117">
        <f t="shared" si="42"/>
        <v>0.16135065078124433</v>
      </c>
      <c r="K156" s="117">
        <f t="shared" si="43"/>
        <v>0.8386493492187557</v>
      </c>
      <c r="L156" s="128"/>
      <c r="M156" s="108"/>
      <c r="N156" s="91">
        <v>93</v>
      </c>
      <c r="O156" s="129">
        <f t="shared" si="39"/>
        <v>252129.63740933433</v>
      </c>
      <c r="P156" s="89">
        <f>RATE(P28,-Q30,Q23)</f>
        <v>0.007083333333333172</v>
      </c>
      <c r="Q156" s="63">
        <f t="shared" si="44"/>
        <v>9958.837001851518</v>
      </c>
      <c r="R156" s="63">
        <f t="shared" si="34"/>
        <v>1785.9182649827442</v>
      </c>
      <c r="S156" s="63">
        <f t="shared" si="35"/>
        <v>8172.9187368687735</v>
      </c>
      <c r="T156" s="130">
        <v>39661</v>
      </c>
      <c r="U156" s="91">
        <v>93</v>
      </c>
      <c r="V156" s="129">
        <f t="shared" si="40"/>
        <v>105030.88758885088</v>
      </c>
      <c r="W156" s="89">
        <f>RATE(W28,-X30,X23)</f>
        <v>0.0070833333333331265</v>
      </c>
      <c r="X156" s="63">
        <f t="shared" si="41"/>
        <v>9958.837001851518</v>
      </c>
      <c r="Y156" s="63">
        <f t="shared" si="36"/>
        <v>743.968787087672</v>
      </c>
      <c r="Z156" s="63">
        <f t="shared" si="37"/>
        <v>9214.868214763846</v>
      </c>
      <c r="AA156" s="130">
        <v>39661</v>
      </c>
    </row>
    <row r="157" spans="1:27" ht="12.75">
      <c r="A157" s="90">
        <v>94</v>
      </c>
      <c r="B157" s="131">
        <f t="shared" si="38"/>
        <v>226488.64862318308</v>
      </c>
      <c r="C157" s="124">
        <f t="shared" si="31"/>
        <v>0.07565000000000001</v>
      </c>
      <c r="D157" s="125">
        <f t="shared" si="45"/>
        <v>0.006304166666666667</v>
      </c>
      <c r="E157" s="126">
        <f t="shared" si="46"/>
        <v>9148.972532286369</v>
      </c>
      <c r="F157" s="126">
        <f t="shared" si="32"/>
        <v>1427.8221890286502</v>
      </c>
      <c r="G157" s="126">
        <f t="shared" si="33"/>
        <v>7721.150343257718</v>
      </c>
      <c r="H157" s="127">
        <v>39692</v>
      </c>
      <c r="J157" s="117">
        <f t="shared" si="42"/>
        <v>0.15606366550887776</v>
      </c>
      <c r="K157" s="117">
        <f t="shared" si="43"/>
        <v>0.8439363344911223</v>
      </c>
      <c r="L157" s="128"/>
      <c r="M157" s="108"/>
      <c r="N157" s="91">
        <v>94</v>
      </c>
      <c r="O157" s="129">
        <f t="shared" si="39"/>
        <v>243956.71867246556</v>
      </c>
      <c r="P157" s="89">
        <f>RATE(P28,-Q30,Q23)</f>
        <v>0.007083333333333172</v>
      </c>
      <c r="Q157" s="63">
        <f t="shared" si="44"/>
        <v>9958.837001851518</v>
      </c>
      <c r="R157" s="63">
        <f t="shared" si="34"/>
        <v>1728.0267572632583</v>
      </c>
      <c r="S157" s="63">
        <f t="shared" si="35"/>
        <v>8230.81024458826</v>
      </c>
      <c r="T157" s="130">
        <v>39692</v>
      </c>
      <c r="U157" s="91">
        <v>94</v>
      </c>
      <c r="V157" s="129">
        <f t="shared" si="40"/>
        <v>95816.01937408703</v>
      </c>
      <c r="W157" s="89">
        <f>RATE(W28,-X30,X23)</f>
        <v>0.0070833333333331265</v>
      </c>
      <c r="X157" s="63">
        <f t="shared" si="41"/>
        <v>9958.837001851518</v>
      </c>
      <c r="Y157" s="63">
        <f t="shared" si="36"/>
        <v>678.6968038997633</v>
      </c>
      <c r="Z157" s="63">
        <f t="shared" si="37"/>
        <v>9280.140197951754</v>
      </c>
      <c r="AA157" s="130">
        <v>39692</v>
      </c>
    </row>
    <row r="158" spans="1:27" ht="12.75">
      <c r="A158" s="90">
        <v>95</v>
      </c>
      <c r="B158" s="131">
        <f t="shared" si="38"/>
        <v>218767.49827992535</v>
      </c>
      <c r="C158" s="124">
        <f t="shared" si="31"/>
        <v>0.07565000000000001</v>
      </c>
      <c r="D158" s="125">
        <f t="shared" si="45"/>
        <v>0.006304166666666667</v>
      </c>
      <c r="E158" s="126">
        <f t="shared" si="46"/>
        <v>9148.972532286369</v>
      </c>
      <c r="F158" s="126">
        <f t="shared" si="32"/>
        <v>1379.1467704063627</v>
      </c>
      <c r="G158" s="126">
        <f t="shared" si="33"/>
        <v>7769.825761880006</v>
      </c>
      <c r="H158" s="127">
        <v>39722</v>
      </c>
      <c r="J158" s="117">
        <f t="shared" si="42"/>
        <v>0.15074335020018995</v>
      </c>
      <c r="K158" s="117">
        <f t="shared" si="43"/>
        <v>0.8492566497998101</v>
      </c>
      <c r="L158" s="128"/>
      <c r="M158" s="108"/>
      <c r="N158" s="91">
        <v>95</v>
      </c>
      <c r="O158" s="129">
        <f t="shared" si="39"/>
        <v>235725.9084278773</v>
      </c>
      <c r="P158" s="89">
        <f>RATE(P28,-Q30,Q23)</f>
        <v>0.007083333333333172</v>
      </c>
      <c r="Q158" s="63">
        <f t="shared" si="44"/>
        <v>9958.837001851518</v>
      </c>
      <c r="R158" s="63">
        <f t="shared" si="34"/>
        <v>1669.7251846974261</v>
      </c>
      <c r="S158" s="63">
        <f t="shared" si="35"/>
        <v>8289.111817154091</v>
      </c>
      <c r="T158" s="130">
        <v>39722</v>
      </c>
      <c r="U158" s="91">
        <v>95</v>
      </c>
      <c r="V158" s="129">
        <f t="shared" si="40"/>
        <v>86535.87917613528</v>
      </c>
      <c r="W158" s="89">
        <f>RATE(W28,-X30,X23)</f>
        <v>0.0070833333333331265</v>
      </c>
      <c r="X158" s="63">
        <f t="shared" si="41"/>
        <v>9958.837001851518</v>
      </c>
      <c r="Y158" s="63">
        <f t="shared" si="36"/>
        <v>612.962477497607</v>
      </c>
      <c r="Z158" s="63">
        <f t="shared" si="37"/>
        <v>9345.87452435391</v>
      </c>
      <c r="AA158" s="130">
        <v>39722</v>
      </c>
    </row>
    <row r="159" spans="1:27" ht="12.75">
      <c r="A159" s="90">
        <v>96</v>
      </c>
      <c r="B159" s="131">
        <f t="shared" si="38"/>
        <v>210997.67251804535</v>
      </c>
      <c r="C159" s="124">
        <f t="shared" si="31"/>
        <v>0.07565000000000001</v>
      </c>
      <c r="D159" s="125">
        <f t="shared" si="45"/>
        <v>0.006304166666666667</v>
      </c>
      <c r="E159" s="126">
        <f t="shared" si="46"/>
        <v>9148.972532286369</v>
      </c>
      <c r="F159" s="126">
        <f t="shared" si="32"/>
        <v>1330.164493832511</v>
      </c>
      <c r="G159" s="126">
        <f t="shared" si="33"/>
        <v>7818.808038453858</v>
      </c>
      <c r="H159" s="127">
        <v>39753</v>
      </c>
      <c r="J159" s="117">
        <f t="shared" si="42"/>
        <v>0.145389494737077</v>
      </c>
      <c r="K159" s="117">
        <f t="shared" si="43"/>
        <v>0.854610505262923</v>
      </c>
      <c r="L159" s="128"/>
      <c r="M159" s="108"/>
      <c r="N159" s="91">
        <v>96</v>
      </c>
      <c r="O159" s="129">
        <f t="shared" si="39"/>
        <v>227436.7966107232</v>
      </c>
      <c r="P159" s="89">
        <f>RATE(P28,-Q30,Q23)</f>
        <v>0.007083333333333172</v>
      </c>
      <c r="Q159" s="63">
        <f t="shared" si="44"/>
        <v>9958.837001851518</v>
      </c>
      <c r="R159" s="63">
        <f t="shared" si="34"/>
        <v>1611.0106426592524</v>
      </c>
      <c r="S159" s="63">
        <f t="shared" si="35"/>
        <v>8347.826359192266</v>
      </c>
      <c r="T159" s="130">
        <v>39753</v>
      </c>
      <c r="U159" s="91">
        <v>96</v>
      </c>
      <c r="V159" s="129">
        <f t="shared" si="40"/>
        <v>77190.00465178136</v>
      </c>
      <c r="W159" s="89">
        <f>RATE(W28,-X30,X23)</f>
        <v>0.0070833333333331265</v>
      </c>
      <c r="X159" s="63">
        <f t="shared" si="41"/>
        <v>9958.837001851518</v>
      </c>
      <c r="Y159" s="63">
        <f t="shared" si="36"/>
        <v>546.762532950102</v>
      </c>
      <c r="Z159" s="63">
        <f t="shared" si="37"/>
        <v>9412.074468901415</v>
      </c>
      <c r="AA159" s="130">
        <v>39753</v>
      </c>
    </row>
    <row r="160" spans="1:27" ht="12.75">
      <c r="A160" s="90">
        <v>97</v>
      </c>
      <c r="B160" s="131">
        <f t="shared" si="38"/>
        <v>203178.8644795915</v>
      </c>
      <c r="C160" s="124">
        <f aca="true" t="shared" si="47" ref="C160:C183">+D160*12</f>
        <v>0.07565000000000001</v>
      </c>
      <c r="D160" s="125">
        <f t="shared" si="45"/>
        <v>0.006304166666666667</v>
      </c>
      <c r="E160" s="126">
        <f t="shared" si="46"/>
        <v>9148.972532286369</v>
      </c>
      <c r="F160" s="126">
        <f aca="true" t="shared" si="48" ref="F160:F183">+B160*D160</f>
        <v>1280.8734248234248</v>
      </c>
      <c r="G160" s="126">
        <f aca="true" t="shared" si="49" ref="G160:G183">+E160-F160</f>
        <v>7868.099107462944</v>
      </c>
      <c r="H160" s="127">
        <v>39783</v>
      </c>
      <c r="J160" s="117">
        <f t="shared" si="42"/>
        <v>0.14000188767681532</v>
      </c>
      <c r="K160" s="117">
        <f t="shared" si="43"/>
        <v>0.8599981123231847</v>
      </c>
      <c r="L160" s="128"/>
      <c r="M160" s="108"/>
      <c r="N160" s="91">
        <v>97</v>
      </c>
      <c r="O160" s="129">
        <f t="shared" si="39"/>
        <v>219088.97025153093</v>
      </c>
      <c r="P160" s="89">
        <f>RATE(P28,-Q30,Q23)</f>
        <v>0.007083333333333172</v>
      </c>
      <c r="Q160" s="63">
        <f t="shared" si="44"/>
        <v>9958.837001851518</v>
      </c>
      <c r="R160" s="63">
        <f aca="true" t="shared" si="50" ref="R160:R183">+O160*P160</f>
        <v>1551.8802059483087</v>
      </c>
      <c r="S160" s="63">
        <f aca="true" t="shared" si="51" ref="S160:S183">+Q160-R160</f>
        <v>8406.95679590321</v>
      </c>
      <c r="T160" s="130">
        <v>39783</v>
      </c>
      <c r="U160" s="91">
        <v>97</v>
      </c>
      <c r="V160" s="129">
        <f t="shared" si="40"/>
        <v>67777.93018287995</v>
      </c>
      <c r="W160" s="89">
        <f>RATE(W28,-X30,X23)</f>
        <v>0.0070833333333331265</v>
      </c>
      <c r="X160" s="63">
        <f t="shared" si="41"/>
        <v>9958.837001851518</v>
      </c>
      <c r="Y160" s="63">
        <f aca="true" t="shared" si="52" ref="Y160:Y167">+V160*W160</f>
        <v>480.093672128719</v>
      </c>
      <c r="Z160" s="63">
        <f aca="true" t="shared" si="53" ref="Z160:Z167">+X160-Y160</f>
        <v>9478.743329722798</v>
      </c>
      <c r="AA160" s="130">
        <v>39783</v>
      </c>
    </row>
    <row r="161" spans="1:27" ht="12.75">
      <c r="A161" s="90">
        <v>98</v>
      </c>
      <c r="B161" s="131">
        <f aca="true" t="shared" si="54" ref="B161:B183">+B160-G160</f>
        <v>195310.76537212855</v>
      </c>
      <c r="C161" s="124">
        <f t="shared" si="47"/>
        <v>0.07565000000000001</v>
      </c>
      <c r="D161" s="125">
        <f t="shared" si="45"/>
        <v>0.006304166666666667</v>
      </c>
      <c r="E161" s="126">
        <v>9142.84</v>
      </c>
      <c r="F161" s="126">
        <f t="shared" si="48"/>
        <v>1231.2716167001272</v>
      </c>
      <c r="G161" s="126">
        <f t="shared" si="49"/>
        <v>7911.568383299873</v>
      </c>
      <c r="H161" s="127">
        <v>39814</v>
      </c>
      <c r="J161" s="117">
        <f t="shared" si="42"/>
        <v>0.1346705855839244</v>
      </c>
      <c r="K161" s="117">
        <f t="shared" si="43"/>
        <v>0.8653294144160756</v>
      </c>
      <c r="L161" s="128"/>
      <c r="M161" s="108"/>
      <c r="N161" s="91">
        <v>98</v>
      </c>
      <c r="O161" s="129">
        <f aca="true" t="shared" si="55" ref="O161:O183">+O160-S160</f>
        <v>210682.01345562772</v>
      </c>
      <c r="P161" s="89">
        <f>RATE(P28,-Q30,Q23)</f>
        <v>0.007083333333333172</v>
      </c>
      <c r="Q161" s="63">
        <f t="shared" si="44"/>
        <v>9958.837001851518</v>
      </c>
      <c r="R161" s="63">
        <f t="shared" si="50"/>
        <v>1492.3309286439955</v>
      </c>
      <c r="S161" s="63">
        <f t="shared" si="51"/>
        <v>8466.506073207522</v>
      </c>
      <c r="T161" s="130">
        <v>39814</v>
      </c>
      <c r="U161" s="91">
        <v>98</v>
      </c>
      <c r="V161" s="129">
        <f aca="true" t="shared" si="56" ref="V161:V167">+V160-Z160</f>
        <v>58299.18685315715</v>
      </c>
      <c r="W161" s="89">
        <f>RATE(W28,-X30,X23)</f>
        <v>0.0070833333333331265</v>
      </c>
      <c r="X161" s="63">
        <f aca="true" t="shared" si="57" ref="X161:X167">+X160</f>
        <v>9958.837001851518</v>
      </c>
      <c r="Y161" s="63">
        <f t="shared" si="52"/>
        <v>412.9525735431844</v>
      </c>
      <c r="Z161" s="63">
        <f t="shared" si="53"/>
        <v>9545.884428308333</v>
      </c>
      <c r="AA161" s="130">
        <v>39814</v>
      </c>
    </row>
    <row r="162" spans="1:27" ht="12.75">
      <c r="A162" s="90">
        <v>99</v>
      </c>
      <c r="B162" s="131">
        <f t="shared" si="54"/>
        <v>187399.19698882868</v>
      </c>
      <c r="C162" s="124">
        <f t="shared" si="47"/>
        <v>0.07565000000000001</v>
      </c>
      <c r="D162" s="125">
        <f t="shared" si="45"/>
        <v>0.006304166666666667</v>
      </c>
      <c r="E162" s="126">
        <f t="shared" si="46"/>
        <v>9142.84</v>
      </c>
      <c r="F162" s="126">
        <f t="shared" si="48"/>
        <v>1181.3957710170741</v>
      </c>
      <c r="G162" s="126">
        <f t="shared" si="49"/>
        <v>7961.444228982926</v>
      </c>
      <c r="H162" s="127">
        <v>39845</v>
      </c>
      <c r="J162" s="117">
        <f t="shared" si="42"/>
        <v>0.12921540473387635</v>
      </c>
      <c r="K162" s="117">
        <f t="shared" si="43"/>
        <v>0.8707845952661236</v>
      </c>
      <c r="L162" s="128"/>
      <c r="M162" s="108"/>
      <c r="N162" s="91">
        <v>99</v>
      </c>
      <c r="O162" s="129">
        <f t="shared" si="55"/>
        <v>202215.50738242018</v>
      </c>
      <c r="P162" s="89">
        <f>RATE(P28,-Q30,Q23)</f>
        <v>0.007083333333333172</v>
      </c>
      <c r="Q162" s="63">
        <f t="shared" si="44"/>
        <v>9958.837001851518</v>
      </c>
      <c r="R162" s="63">
        <f t="shared" si="50"/>
        <v>1432.359843958777</v>
      </c>
      <c r="S162" s="63">
        <f t="shared" si="51"/>
        <v>8526.477157892741</v>
      </c>
      <c r="T162" s="130">
        <v>39845</v>
      </c>
      <c r="U162" s="91">
        <v>99</v>
      </c>
      <c r="V162" s="129">
        <f t="shared" si="56"/>
        <v>48753.30242484882</v>
      </c>
      <c r="W162" s="89">
        <f>RATE(W28,-X30,X23)</f>
        <v>0.0070833333333331265</v>
      </c>
      <c r="X162" s="63">
        <f t="shared" si="57"/>
        <v>9958.837001851518</v>
      </c>
      <c r="Y162" s="63">
        <f t="shared" si="52"/>
        <v>345.3358921760024</v>
      </c>
      <c r="Z162" s="63">
        <f t="shared" si="53"/>
        <v>9613.501109675515</v>
      </c>
      <c r="AA162" s="130">
        <v>39845</v>
      </c>
    </row>
    <row r="163" spans="1:27" ht="12.75">
      <c r="A163" s="90">
        <v>100</v>
      </c>
      <c r="B163" s="131">
        <f t="shared" si="54"/>
        <v>179437.75275984575</v>
      </c>
      <c r="C163" s="124">
        <f t="shared" si="47"/>
        <v>0.07565000000000001</v>
      </c>
      <c r="D163" s="125">
        <f t="shared" si="45"/>
        <v>0.006304166666666667</v>
      </c>
      <c r="E163" s="126">
        <f t="shared" si="46"/>
        <v>9142.84</v>
      </c>
      <c r="F163" s="126">
        <f t="shared" si="48"/>
        <v>1131.2054996901943</v>
      </c>
      <c r="G163" s="126">
        <f t="shared" si="49"/>
        <v>8011.634500309806</v>
      </c>
      <c r="H163" s="127">
        <v>39873</v>
      </c>
      <c r="J163" s="117">
        <f t="shared" si="42"/>
        <v>0.12372583351455284</v>
      </c>
      <c r="K163" s="117">
        <f t="shared" si="43"/>
        <v>0.8762741664854472</v>
      </c>
      <c r="L163" s="128"/>
      <c r="M163" s="108"/>
      <c r="N163" s="91">
        <v>100</v>
      </c>
      <c r="O163" s="129">
        <f t="shared" si="55"/>
        <v>193689.03022452744</v>
      </c>
      <c r="P163" s="89">
        <f>RATE(P28,-Q30,Q23)</f>
        <v>0.007083333333333172</v>
      </c>
      <c r="Q163" s="63">
        <f t="shared" si="44"/>
        <v>9958.837001851518</v>
      </c>
      <c r="R163" s="63">
        <f t="shared" si="50"/>
        <v>1371.9639640903713</v>
      </c>
      <c r="S163" s="63">
        <f t="shared" si="51"/>
        <v>8586.873037761146</v>
      </c>
      <c r="T163" s="130">
        <v>39873</v>
      </c>
      <c r="U163" s="91">
        <v>100</v>
      </c>
      <c r="V163" s="129">
        <f t="shared" si="56"/>
        <v>39139.8013151733</v>
      </c>
      <c r="W163" s="89">
        <f>RATE(W28,-X30,X23)</f>
        <v>0.0070833333333331265</v>
      </c>
      <c r="X163" s="63">
        <f t="shared" si="57"/>
        <v>9958.837001851518</v>
      </c>
      <c r="Y163" s="63">
        <f t="shared" si="52"/>
        <v>277.2402593158028</v>
      </c>
      <c r="Z163" s="63">
        <f t="shared" si="53"/>
        <v>9681.596742535716</v>
      </c>
      <c r="AA163" s="130">
        <v>39873</v>
      </c>
    </row>
    <row r="164" spans="1:27" ht="12.75">
      <c r="A164" s="90">
        <v>101</v>
      </c>
      <c r="B164" s="131">
        <f t="shared" si="54"/>
        <v>171426.11825953596</v>
      </c>
      <c r="C164" s="124">
        <f t="shared" si="47"/>
        <v>0.07565000000000001</v>
      </c>
      <c r="D164" s="125">
        <f t="shared" si="45"/>
        <v>0.006304166666666667</v>
      </c>
      <c r="E164" s="126">
        <f t="shared" si="46"/>
        <v>9142.84</v>
      </c>
      <c r="F164" s="126">
        <f t="shared" si="48"/>
        <v>1080.6988205278246</v>
      </c>
      <c r="G164" s="126">
        <f t="shared" si="49"/>
        <v>8062.141179472175</v>
      </c>
      <c r="H164" s="127">
        <v>39904</v>
      </c>
      <c r="J164" s="117">
        <f t="shared" si="42"/>
        <v>0.11820165512333418</v>
      </c>
      <c r="K164" s="117">
        <f t="shared" si="43"/>
        <v>0.8817983448766658</v>
      </c>
      <c r="L164" s="128"/>
      <c r="M164" s="108"/>
      <c r="N164" s="91">
        <v>101</v>
      </c>
      <c r="O164" s="129">
        <f t="shared" si="55"/>
        <v>185102.1571867663</v>
      </c>
      <c r="P164" s="89">
        <f>RATE(P28,-Q30,Q23)</f>
        <v>0.007083333333333172</v>
      </c>
      <c r="Q164" s="63">
        <f t="shared" si="44"/>
        <v>9958.837001851518</v>
      </c>
      <c r="R164" s="63">
        <f t="shared" si="50"/>
        <v>1311.1402800728981</v>
      </c>
      <c r="S164" s="63">
        <f t="shared" si="51"/>
        <v>8647.69672177862</v>
      </c>
      <c r="T164" s="130">
        <v>39904</v>
      </c>
      <c r="U164" s="91">
        <v>101</v>
      </c>
      <c r="V164" s="129">
        <f t="shared" si="56"/>
        <v>29458.204572637587</v>
      </c>
      <c r="W164" s="89">
        <f>RATE(W28,-X30,X23)</f>
        <v>0.0070833333333331265</v>
      </c>
      <c r="X164" s="63">
        <f t="shared" si="57"/>
        <v>9958.837001851518</v>
      </c>
      <c r="Y164" s="63">
        <f t="shared" si="52"/>
        <v>208.66228238951015</v>
      </c>
      <c r="Z164" s="63">
        <f t="shared" si="53"/>
        <v>9750.174719462007</v>
      </c>
      <c r="AA164" s="130">
        <v>39904</v>
      </c>
    </row>
    <row r="165" spans="1:27" ht="12.75">
      <c r="A165" s="90">
        <v>102</v>
      </c>
      <c r="B165" s="131">
        <f t="shared" si="54"/>
        <v>163363.97708006378</v>
      </c>
      <c r="C165" s="124">
        <f t="shared" si="47"/>
        <v>0.07565000000000001</v>
      </c>
      <c r="D165" s="125">
        <f t="shared" si="45"/>
        <v>0.006304166666666667</v>
      </c>
      <c r="E165" s="126">
        <f t="shared" si="46"/>
        <v>9142.84</v>
      </c>
      <c r="F165" s="126">
        <f t="shared" si="48"/>
        <v>1029.8737388422355</v>
      </c>
      <c r="G165" s="126">
        <f t="shared" si="49"/>
        <v>8112.966261157764</v>
      </c>
      <c r="H165" s="127">
        <v>39934</v>
      </c>
      <c r="J165" s="117">
        <f aca="true" t="shared" si="58" ref="J165:J183">+F165/E165</f>
        <v>0.11264265139084087</v>
      </c>
      <c r="K165" s="117">
        <f aca="true" t="shared" si="59" ref="K165:K183">+G165/E165</f>
        <v>0.887357348609159</v>
      </c>
      <c r="L165" s="128"/>
      <c r="M165" s="108"/>
      <c r="N165" s="91">
        <v>102</v>
      </c>
      <c r="O165" s="129">
        <f t="shared" si="55"/>
        <v>176454.46046498767</v>
      </c>
      <c r="P165" s="89">
        <f>RATE(P28,-Q30,Q23)</f>
        <v>0.007083333333333172</v>
      </c>
      <c r="Q165" s="63">
        <f t="shared" si="44"/>
        <v>9958.837001851518</v>
      </c>
      <c r="R165" s="63">
        <f t="shared" si="50"/>
        <v>1249.8857616269675</v>
      </c>
      <c r="S165" s="63">
        <f t="shared" si="51"/>
        <v>8708.951240224551</v>
      </c>
      <c r="T165" s="130">
        <v>39934</v>
      </c>
      <c r="U165" s="91">
        <v>102</v>
      </c>
      <c r="V165" s="129">
        <f t="shared" si="56"/>
        <v>19708.02985317558</v>
      </c>
      <c r="W165" s="89">
        <f>RATE(W28,-X30,X23)</f>
        <v>0.0070833333333331265</v>
      </c>
      <c r="X165" s="63">
        <f t="shared" si="57"/>
        <v>9958.837001851518</v>
      </c>
      <c r="Y165" s="63">
        <f t="shared" si="52"/>
        <v>139.59854479332296</v>
      </c>
      <c r="Z165" s="63">
        <f t="shared" si="53"/>
        <v>9819.238457058194</v>
      </c>
      <c r="AA165" s="130">
        <v>39934</v>
      </c>
    </row>
    <row r="166" spans="1:27" ht="12.75">
      <c r="A166" s="90">
        <v>103</v>
      </c>
      <c r="B166" s="131">
        <f t="shared" si="54"/>
        <v>155251.010818906</v>
      </c>
      <c r="C166" s="124">
        <f t="shared" si="47"/>
        <v>0.07565000000000001</v>
      </c>
      <c r="D166" s="125">
        <f t="shared" si="45"/>
        <v>0.006304166666666667</v>
      </c>
      <c r="E166" s="126">
        <f t="shared" si="46"/>
        <v>9142.84</v>
      </c>
      <c r="F166" s="126">
        <f t="shared" si="48"/>
        <v>978.7282473708534</v>
      </c>
      <c r="G166" s="126">
        <f t="shared" si="49"/>
        <v>8164.111752629146</v>
      </c>
      <c r="H166" s="127">
        <v>39965</v>
      </c>
      <c r="J166" s="117">
        <f t="shared" si="58"/>
        <v>0.10704860277231729</v>
      </c>
      <c r="K166" s="117">
        <f t="shared" si="59"/>
        <v>0.8929513972276827</v>
      </c>
      <c r="L166" s="128"/>
      <c r="M166" s="108"/>
      <c r="N166" s="91">
        <v>103</v>
      </c>
      <c r="O166" s="129">
        <f t="shared" si="55"/>
        <v>167745.5092247631</v>
      </c>
      <c r="P166" s="89">
        <f>RATE(P28,-Q30,Q23)</f>
        <v>0.007083333333333172</v>
      </c>
      <c r="Q166" s="63">
        <f t="shared" si="44"/>
        <v>9958.837001851518</v>
      </c>
      <c r="R166" s="63">
        <f t="shared" si="50"/>
        <v>1188.1973570087116</v>
      </c>
      <c r="S166" s="63">
        <f t="shared" si="51"/>
        <v>8770.639644842806</v>
      </c>
      <c r="T166" s="130">
        <v>39965</v>
      </c>
      <c r="U166" s="91">
        <v>103</v>
      </c>
      <c r="V166" s="129">
        <f t="shared" si="56"/>
        <v>9888.791396117385</v>
      </c>
      <c r="W166" s="89">
        <f>RATE(W28,-X30,X23)</f>
        <v>0.0070833333333331265</v>
      </c>
      <c r="X166" s="63">
        <f t="shared" si="57"/>
        <v>9958.837001851518</v>
      </c>
      <c r="Y166" s="63">
        <f t="shared" si="52"/>
        <v>70.0456057224961</v>
      </c>
      <c r="Z166" s="63">
        <f t="shared" si="53"/>
        <v>9888.791396129021</v>
      </c>
      <c r="AA166" s="130">
        <v>39965</v>
      </c>
    </row>
    <row r="167" spans="1:27" ht="12.75">
      <c r="A167" s="90">
        <v>104</v>
      </c>
      <c r="B167" s="131">
        <f t="shared" si="54"/>
        <v>147086.89906627688</v>
      </c>
      <c r="C167" s="124">
        <f t="shared" si="47"/>
        <v>0.07565000000000001</v>
      </c>
      <c r="D167" s="125">
        <f t="shared" si="45"/>
        <v>0.006304166666666667</v>
      </c>
      <c r="E167" s="126">
        <f t="shared" si="46"/>
        <v>9142.84</v>
      </c>
      <c r="F167" s="126">
        <f t="shared" si="48"/>
        <v>927.2603261969872</v>
      </c>
      <c r="G167" s="126">
        <f t="shared" si="49"/>
        <v>8215.579673803013</v>
      </c>
      <c r="H167" s="127">
        <v>39995</v>
      </c>
      <c r="J167" s="117">
        <f t="shared" si="58"/>
        <v>0.1014192883389611</v>
      </c>
      <c r="K167" s="117">
        <f t="shared" si="59"/>
        <v>0.8985807116610389</v>
      </c>
      <c r="L167" s="128"/>
      <c r="M167" s="108"/>
      <c r="N167" s="91">
        <v>104</v>
      </c>
      <c r="O167" s="129">
        <f t="shared" si="55"/>
        <v>158974.8695799203</v>
      </c>
      <c r="P167" s="89">
        <f>RATE(P28,-Q30,Q23)</f>
        <v>0.007083333333333172</v>
      </c>
      <c r="Q167" s="63">
        <f t="shared" si="44"/>
        <v>9958.837001851518</v>
      </c>
      <c r="R167" s="63">
        <f t="shared" si="50"/>
        <v>1126.0719928577432</v>
      </c>
      <c r="S167" s="63">
        <f t="shared" si="51"/>
        <v>8832.765008993774</v>
      </c>
      <c r="T167" s="130">
        <v>39995</v>
      </c>
      <c r="U167" s="91">
        <v>104</v>
      </c>
      <c r="V167" s="129">
        <f t="shared" si="56"/>
        <v>-1.1636075214482844E-08</v>
      </c>
      <c r="W167" s="89">
        <f>RATE(W28,-X30,X23)</f>
        <v>0.0070833333333331265</v>
      </c>
      <c r="X167" s="63">
        <f t="shared" si="57"/>
        <v>9958.837001851518</v>
      </c>
      <c r="Y167" s="63">
        <f t="shared" si="52"/>
        <v>-8.242219943591774E-11</v>
      </c>
      <c r="Z167" s="63">
        <f t="shared" si="53"/>
        <v>9958.8370018516</v>
      </c>
      <c r="AA167" s="130">
        <v>39995</v>
      </c>
    </row>
    <row r="168" spans="1:27" ht="12.75">
      <c r="A168" s="90">
        <v>105</v>
      </c>
      <c r="B168" s="131">
        <f t="shared" si="54"/>
        <v>138871.31939247387</v>
      </c>
      <c r="C168" s="124">
        <f t="shared" si="47"/>
        <v>0.07565000000000001</v>
      </c>
      <c r="D168" s="125">
        <f t="shared" si="45"/>
        <v>0.006304166666666667</v>
      </c>
      <c r="E168" s="126">
        <f t="shared" si="46"/>
        <v>9142.84</v>
      </c>
      <c r="F168" s="126">
        <f t="shared" si="48"/>
        <v>875.4679426700541</v>
      </c>
      <c r="G168" s="126">
        <f t="shared" si="49"/>
        <v>8267.372057329947</v>
      </c>
      <c r="H168" s="127">
        <v>40026</v>
      </c>
      <c r="J168" s="117">
        <f t="shared" si="58"/>
        <v>0.09575448576919798</v>
      </c>
      <c r="K168" s="117">
        <f t="shared" si="59"/>
        <v>0.9042455142308021</v>
      </c>
      <c r="L168" s="128"/>
      <c r="M168" s="108"/>
      <c r="N168" s="91">
        <v>105</v>
      </c>
      <c r="O168" s="129">
        <f t="shared" si="55"/>
        <v>150142.10457092655</v>
      </c>
      <c r="P168" s="89">
        <f>RATE(P28,-Q30,Q23)</f>
        <v>0.007083333333333172</v>
      </c>
      <c r="Q168" s="63">
        <f t="shared" si="44"/>
        <v>9958.837001851518</v>
      </c>
      <c r="R168" s="63">
        <f t="shared" si="50"/>
        <v>1063.5065740440386</v>
      </c>
      <c r="S168" s="63">
        <f t="shared" si="51"/>
        <v>8895.33042780748</v>
      </c>
      <c r="T168" s="130">
        <v>40026</v>
      </c>
      <c r="U168" s="91"/>
      <c r="V168" s="129"/>
      <c r="W168" s="89"/>
      <c r="X168" s="63">
        <f>SUM(X64:X167)</f>
        <v>1035719.0481925586</v>
      </c>
      <c r="Y168" s="63"/>
      <c r="Z168" s="63"/>
      <c r="AA168" s="129"/>
    </row>
    <row r="169" spans="1:27" ht="12.75">
      <c r="A169" s="90">
        <v>106</v>
      </c>
      <c r="B169" s="131">
        <f t="shared" si="54"/>
        <v>130603.94733514392</v>
      </c>
      <c r="C169" s="124">
        <f t="shared" si="47"/>
        <v>0.07565000000000001</v>
      </c>
      <c r="D169" s="125">
        <f t="shared" si="45"/>
        <v>0.006304166666666667</v>
      </c>
      <c r="E169" s="126">
        <f t="shared" si="46"/>
        <v>9142.84</v>
      </c>
      <c r="F169" s="126">
        <f t="shared" si="48"/>
        <v>823.3490513253032</v>
      </c>
      <c r="G169" s="126">
        <f t="shared" si="49"/>
        <v>8319.490948674696</v>
      </c>
      <c r="H169" s="127">
        <v>40057</v>
      </c>
      <c r="J169" s="117">
        <f t="shared" si="58"/>
        <v>0.0900539713399013</v>
      </c>
      <c r="K169" s="117">
        <f t="shared" si="59"/>
        <v>0.9099460286600987</v>
      </c>
      <c r="L169" s="128"/>
      <c r="M169" s="108"/>
      <c r="N169" s="91">
        <v>106</v>
      </c>
      <c r="O169" s="129">
        <f t="shared" si="55"/>
        <v>141246.77414311905</v>
      </c>
      <c r="P169" s="89">
        <f>RATE(P28,-Q30,Q23)</f>
        <v>0.007083333333333172</v>
      </c>
      <c r="Q169" s="63">
        <f t="shared" si="44"/>
        <v>9958.837001851518</v>
      </c>
      <c r="R169" s="63">
        <f t="shared" si="50"/>
        <v>1000.4979835137372</v>
      </c>
      <c r="S169" s="63">
        <f t="shared" si="51"/>
        <v>8958.339018337781</v>
      </c>
      <c r="T169" s="130">
        <v>40057</v>
      </c>
      <c r="U169" s="91"/>
      <c r="V169" s="129"/>
      <c r="W169" s="89"/>
      <c r="X169" s="63"/>
      <c r="Y169" s="63"/>
      <c r="Z169" s="63"/>
      <c r="AA169" s="129"/>
    </row>
    <row r="170" spans="1:27" ht="12.75">
      <c r="A170" s="90">
        <v>107</v>
      </c>
      <c r="B170" s="131">
        <f t="shared" si="54"/>
        <v>122284.45638646923</v>
      </c>
      <c r="C170" s="124">
        <f t="shared" si="47"/>
        <v>0.07565000000000001</v>
      </c>
      <c r="D170" s="125">
        <f t="shared" si="45"/>
        <v>0.006304166666666667</v>
      </c>
      <c r="E170" s="126">
        <f t="shared" si="46"/>
        <v>9142.84</v>
      </c>
      <c r="F170" s="126">
        <f t="shared" si="48"/>
        <v>770.9015938030332</v>
      </c>
      <c r="G170" s="126">
        <f t="shared" si="49"/>
        <v>8371.938406196967</v>
      </c>
      <c r="H170" s="127">
        <v>40087</v>
      </c>
      <c r="J170" s="117">
        <f t="shared" si="58"/>
        <v>0.0843175199175566</v>
      </c>
      <c r="K170" s="117">
        <f t="shared" si="59"/>
        <v>0.9156824800824434</v>
      </c>
      <c r="L170" s="128"/>
      <c r="M170" s="108"/>
      <c r="N170" s="91">
        <v>107</v>
      </c>
      <c r="O170" s="129">
        <f t="shared" si="55"/>
        <v>132288.43512478127</v>
      </c>
      <c r="P170" s="89">
        <f>RATE(P28,-Q30,Q23)</f>
        <v>0.007083333333333172</v>
      </c>
      <c r="Q170" s="63">
        <f t="shared" si="44"/>
        <v>9958.837001851518</v>
      </c>
      <c r="R170" s="63">
        <f t="shared" si="50"/>
        <v>937.0430821338459</v>
      </c>
      <c r="S170" s="63">
        <f t="shared" si="51"/>
        <v>9021.793919717671</v>
      </c>
      <c r="T170" s="130">
        <v>40087</v>
      </c>
      <c r="U170" s="91"/>
      <c r="V170" s="129"/>
      <c r="W170" s="89" t="s">
        <v>245</v>
      </c>
      <c r="X170" s="63">
        <f>+X30</f>
        <v>9958.837001851518</v>
      </c>
      <c r="Y170" s="63"/>
      <c r="Z170" s="63"/>
      <c r="AA170" s="129"/>
    </row>
    <row r="171" spans="1:27" ht="12.75">
      <c r="A171" s="90">
        <v>108</v>
      </c>
      <c r="B171" s="131">
        <f t="shared" si="54"/>
        <v>113912.51798027227</v>
      </c>
      <c r="C171" s="124">
        <f t="shared" si="47"/>
        <v>0.07565000000000001</v>
      </c>
      <c r="D171" s="125">
        <f t="shared" si="45"/>
        <v>0.006304166666666667</v>
      </c>
      <c r="E171" s="126">
        <f t="shared" si="46"/>
        <v>9142.84</v>
      </c>
      <c r="F171" s="126">
        <f t="shared" si="48"/>
        <v>718.1234987672998</v>
      </c>
      <c r="G171" s="126">
        <f t="shared" si="49"/>
        <v>8424.7165012327</v>
      </c>
      <c r="H171" s="127">
        <v>40118</v>
      </c>
      <c r="J171" s="117">
        <f t="shared" si="58"/>
        <v>0.07854490494937019</v>
      </c>
      <c r="K171" s="117">
        <f t="shared" si="59"/>
        <v>0.9214550950506298</v>
      </c>
      <c r="L171" s="128"/>
      <c r="M171" s="108"/>
      <c r="N171" s="91">
        <v>108</v>
      </c>
      <c r="O171" s="129">
        <f t="shared" si="55"/>
        <v>123266.6412050636</v>
      </c>
      <c r="P171" s="89">
        <f>RATE(P28,-Q30,Q23)</f>
        <v>0.007083333333333172</v>
      </c>
      <c r="Q171" s="63">
        <f t="shared" si="44"/>
        <v>9958.837001851518</v>
      </c>
      <c r="R171" s="63">
        <f t="shared" si="50"/>
        <v>873.1387085358473</v>
      </c>
      <c r="S171" s="63">
        <f t="shared" si="51"/>
        <v>9085.69829331567</v>
      </c>
      <c r="T171" s="130">
        <v>40118</v>
      </c>
      <c r="U171" s="40"/>
      <c r="V171" s="40"/>
      <c r="W171" s="40"/>
      <c r="X171" s="40"/>
      <c r="Y171" s="40"/>
      <c r="Z171" s="40"/>
      <c r="AA171" s="40"/>
    </row>
    <row r="172" spans="1:27" ht="12.75">
      <c r="A172" s="90">
        <v>109</v>
      </c>
      <c r="B172" s="131">
        <f t="shared" si="54"/>
        <v>105487.80147903957</v>
      </c>
      <c r="C172" s="124">
        <f t="shared" si="47"/>
        <v>0.07565000000000001</v>
      </c>
      <c r="D172" s="125">
        <f t="shared" si="45"/>
        <v>0.006304166666666667</v>
      </c>
      <c r="E172" s="126">
        <v>8938.21</v>
      </c>
      <c r="F172" s="126">
        <f t="shared" si="48"/>
        <v>665.012681824112</v>
      </c>
      <c r="G172" s="126">
        <f t="shared" si="49"/>
        <v>8273.197318175888</v>
      </c>
      <c r="H172" s="127">
        <v>40148</v>
      </c>
      <c r="J172" s="117">
        <f t="shared" si="58"/>
        <v>0.07440110288571336</v>
      </c>
      <c r="K172" s="117">
        <f t="shared" si="59"/>
        <v>0.9255988971142867</v>
      </c>
      <c r="L172" s="128"/>
      <c r="M172" s="108"/>
      <c r="N172" s="91">
        <v>109</v>
      </c>
      <c r="O172" s="129">
        <f t="shared" si="55"/>
        <v>114180.94291174793</v>
      </c>
      <c r="P172" s="89">
        <f>RATE(P28,-Q30,Q23)</f>
        <v>0.007083333333333172</v>
      </c>
      <c r="Q172" s="63">
        <f t="shared" si="44"/>
        <v>9958.837001851518</v>
      </c>
      <c r="R172" s="63">
        <f t="shared" si="50"/>
        <v>808.781678958196</v>
      </c>
      <c r="S172" s="63">
        <f t="shared" si="51"/>
        <v>9150.055322893322</v>
      </c>
      <c r="T172" s="130">
        <v>40148</v>
      </c>
      <c r="U172" s="40"/>
      <c r="V172" s="40"/>
      <c r="W172" s="40"/>
      <c r="X172" s="40"/>
      <c r="Y172" s="40"/>
      <c r="Z172" s="40"/>
      <c r="AA172" s="40"/>
    </row>
    <row r="173" spans="1:27" ht="12.75">
      <c r="A173" s="90">
        <v>110</v>
      </c>
      <c r="B173" s="123">
        <v>96416.31</v>
      </c>
      <c r="C173" s="133">
        <f t="shared" si="47"/>
        <v>0.039288000000000003</v>
      </c>
      <c r="D173" s="134">
        <v>0.003274</v>
      </c>
      <c r="E173" s="135">
        <v>8938.21</v>
      </c>
      <c r="F173" s="135">
        <f t="shared" si="48"/>
        <v>315.66699894</v>
      </c>
      <c r="G173" s="135">
        <f t="shared" si="49"/>
        <v>8622.54300106</v>
      </c>
      <c r="H173" s="136">
        <v>40179</v>
      </c>
      <c r="J173" s="117">
        <f t="shared" si="58"/>
        <v>0.035316578927995654</v>
      </c>
      <c r="K173" s="117">
        <f t="shared" si="59"/>
        <v>0.9646834210720043</v>
      </c>
      <c r="L173" s="128"/>
      <c r="M173" s="108"/>
      <c r="N173" s="91">
        <v>110</v>
      </c>
      <c r="O173" s="129">
        <f t="shared" si="55"/>
        <v>105030.8875888546</v>
      </c>
      <c r="P173" s="89">
        <f>RATE(P28,-Q30,Q23)</f>
        <v>0.007083333333333172</v>
      </c>
      <c r="Q173" s="63">
        <f t="shared" si="44"/>
        <v>9958.837001851518</v>
      </c>
      <c r="R173" s="63">
        <f t="shared" si="50"/>
        <v>743.9687870877032</v>
      </c>
      <c r="S173" s="63">
        <f t="shared" si="51"/>
        <v>9214.868214763816</v>
      </c>
      <c r="T173" s="130">
        <v>40179</v>
      </c>
      <c r="U173" s="40"/>
      <c r="V173" s="40"/>
      <c r="W173" s="40"/>
      <c r="X173" s="40"/>
      <c r="Y173" s="40"/>
      <c r="Z173" s="40"/>
      <c r="AA173" s="40"/>
    </row>
    <row r="174" spans="1:27" ht="12.75">
      <c r="A174" s="90">
        <v>111</v>
      </c>
      <c r="B174" s="131">
        <f t="shared" si="54"/>
        <v>87793.76699894</v>
      </c>
      <c r="C174" s="124">
        <f t="shared" si="47"/>
        <v>0.039288000000000003</v>
      </c>
      <c r="D174" s="125">
        <f t="shared" si="45"/>
        <v>0.003274</v>
      </c>
      <c r="E174" s="126">
        <f t="shared" si="46"/>
        <v>8938.21</v>
      </c>
      <c r="F174" s="126">
        <f t="shared" si="48"/>
        <v>287.43679315452954</v>
      </c>
      <c r="G174" s="126">
        <f t="shared" si="49"/>
        <v>8650.77320684547</v>
      </c>
      <c r="H174" s="127">
        <v>40210</v>
      </c>
      <c r="J174" s="117">
        <f t="shared" si="58"/>
        <v>0.03215820540740591</v>
      </c>
      <c r="K174" s="117">
        <f t="shared" si="59"/>
        <v>0.9678417945925941</v>
      </c>
      <c r="L174" s="128"/>
      <c r="M174" s="108"/>
      <c r="N174" s="91">
        <v>111</v>
      </c>
      <c r="O174" s="129">
        <f t="shared" si="55"/>
        <v>95816.01937409079</v>
      </c>
      <c r="P174" s="89">
        <f>RATE(P28,-Q30,Q23)</f>
        <v>0.007083333333333172</v>
      </c>
      <c r="Q174" s="63">
        <f t="shared" si="44"/>
        <v>9958.837001851518</v>
      </c>
      <c r="R174" s="63">
        <f t="shared" si="50"/>
        <v>678.6968038997942</v>
      </c>
      <c r="S174" s="63">
        <f t="shared" si="51"/>
        <v>9280.140197951723</v>
      </c>
      <c r="T174" s="130">
        <v>40210</v>
      </c>
      <c r="U174" s="40"/>
      <c r="V174" s="40"/>
      <c r="W174" s="40"/>
      <c r="X174" s="40"/>
      <c r="Y174" s="40"/>
      <c r="Z174" s="40"/>
      <c r="AA174" s="40"/>
    </row>
    <row r="175" spans="1:27" ht="12.75">
      <c r="A175" s="90">
        <v>112</v>
      </c>
      <c r="B175" s="131">
        <f t="shared" si="54"/>
        <v>79142.99379209454</v>
      </c>
      <c r="C175" s="124">
        <f t="shared" si="47"/>
        <v>0.039288000000000003</v>
      </c>
      <c r="D175" s="125">
        <f t="shared" si="45"/>
        <v>0.003274</v>
      </c>
      <c r="E175" s="126">
        <f t="shared" si="46"/>
        <v>8938.21</v>
      </c>
      <c r="F175" s="126">
        <f t="shared" si="48"/>
        <v>259.1141616753175</v>
      </c>
      <c r="G175" s="126">
        <f t="shared" si="49"/>
        <v>8679.095838324682</v>
      </c>
      <c r="H175" s="127">
        <v>40238</v>
      </c>
      <c r="J175" s="117">
        <f t="shared" si="58"/>
        <v>0.028989491371909763</v>
      </c>
      <c r="K175" s="117">
        <f t="shared" si="59"/>
        <v>0.9710105086280902</v>
      </c>
      <c r="L175" s="128"/>
      <c r="M175" s="108"/>
      <c r="N175" s="91">
        <v>112</v>
      </c>
      <c r="O175" s="129">
        <f t="shared" si="55"/>
        <v>86535.87917613906</v>
      </c>
      <c r="P175" s="89">
        <f>RATE(P28,-Q30,Q23)</f>
        <v>0.007083333333333172</v>
      </c>
      <c r="Q175" s="63">
        <f t="shared" si="44"/>
        <v>9958.837001851518</v>
      </c>
      <c r="R175" s="63">
        <f t="shared" si="50"/>
        <v>612.9624774976377</v>
      </c>
      <c r="S175" s="63">
        <f t="shared" si="51"/>
        <v>9345.87452435388</v>
      </c>
      <c r="T175" s="130">
        <v>40238</v>
      </c>
      <c r="U175" s="40"/>
      <c r="V175" s="40"/>
      <c r="W175" s="40"/>
      <c r="X175" s="40"/>
      <c r="Y175" s="40"/>
      <c r="Z175" s="40"/>
      <c r="AA175" s="40"/>
    </row>
    <row r="176" spans="1:27" ht="12.75">
      <c r="A176" s="90">
        <v>113</v>
      </c>
      <c r="B176" s="131">
        <f t="shared" si="54"/>
        <v>70463.89795376986</v>
      </c>
      <c r="C176" s="124">
        <f t="shared" si="47"/>
        <v>0.039288000000000003</v>
      </c>
      <c r="D176" s="125">
        <f t="shared" si="45"/>
        <v>0.003274</v>
      </c>
      <c r="E176" s="126">
        <f t="shared" si="46"/>
        <v>8938.21</v>
      </c>
      <c r="F176" s="126">
        <f t="shared" si="48"/>
        <v>230.69880190064254</v>
      </c>
      <c r="G176" s="126">
        <f t="shared" si="49"/>
        <v>8707.511198099357</v>
      </c>
      <c r="H176" s="127">
        <v>40269</v>
      </c>
      <c r="J176" s="117">
        <f t="shared" si="58"/>
        <v>0.025810402966661396</v>
      </c>
      <c r="K176" s="117">
        <f t="shared" si="59"/>
        <v>0.9741895970333386</v>
      </c>
      <c r="L176" s="128"/>
      <c r="M176" s="108"/>
      <c r="N176" s="91">
        <v>113</v>
      </c>
      <c r="O176" s="129">
        <f t="shared" si="55"/>
        <v>77190.00465178519</v>
      </c>
      <c r="P176" s="89">
        <f>RATE(P28,-Q30,Q23)</f>
        <v>0.007083333333333172</v>
      </c>
      <c r="Q176" s="63">
        <f t="shared" si="44"/>
        <v>9958.837001851518</v>
      </c>
      <c r="R176" s="63">
        <f t="shared" si="50"/>
        <v>546.7625329501326</v>
      </c>
      <c r="S176" s="63">
        <f t="shared" si="51"/>
        <v>9412.074468901385</v>
      </c>
      <c r="T176" s="130">
        <v>40269</v>
      </c>
      <c r="U176" s="40"/>
      <c r="V176" s="40"/>
      <c r="W176" s="40"/>
      <c r="X176" s="40"/>
      <c r="Y176" s="40"/>
      <c r="Z176" s="40"/>
      <c r="AA176" s="40"/>
    </row>
    <row r="177" spans="1:27" ht="12.75">
      <c r="A177" s="90">
        <v>114</v>
      </c>
      <c r="B177" s="131">
        <f t="shared" si="54"/>
        <v>61756.38675567051</v>
      </c>
      <c r="C177" s="124">
        <f t="shared" si="47"/>
        <v>0.039288000000000003</v>
      </c>
      <c r="D177" s="125">
        <f t="shared" si="45"/>
        <v>0.003274</v>
      </c>
      <c r="E177" s="126">
        <f t="shared" si="46"/>
        <v>8938.21</v>
      </c>
      <c r="F177" s="126">
        <f t="shared" si="48"/>
        <v>202.19041023806525</v>
      </c>
      <c r="G177" s="126">
        <f t="shared" si="49"/>
        <v>8736.019589761934</v>
      </c>
      <c r="H177" s="127">
        <v>40299</v>
      </c>
      <c r="J177" s="117">
        <f t="shared" si="58"/>
        <v>0.022620906225974246</v>
      </c>
      <c r="K177" s="117">
        <f t="shared" si="59"/>
        <v>0.9773790937740258</v>
      </c>
      <c r="L177" s="128"/>
      <c r="M177" s="108"/>
      <c r="N177" s="91">
        <v>114</v>
      </c>
      <c r="O177" s="129">
        <f t="shared" si="55"/>
        <v>67777.9301828838</v>
      </c>
      <c r="P177" s="89">
        <f>RATE(P28,-Q30,Q23)</f>
        <v>0.007083333333333172</v>
      </c>
      <c r="Q177" s="63">
        <f t="shared" si="44"/>
        <v>9958.837001851518</v>
      </c>
      <c r="R177" s="63">
        <f t="shared" si="50"/>
        <v>480.09367212874935</v>
      </c>
      <c r="S177" s="63">
        <f t="shared" si="51"/>
        <v>9478.743329722769</v>
      </c>
      <c r="T177" s="130">
        <v>40299</v>
      </c>
      <c r="U177" s="40"/>
      <c r="V177" s="40"/>
      <c r="W177" s="40"/>
      <c r="X177" s="40"/>
      <c r="Y177" s="40"/>
      <c r="Z177" s="40"/>
      <c r="AA177" s="40"/>
    </row>
    <row r="178" spans="1:27" ht="12.75">
      <c r="A178" s="90">
        <v>115</v>
      </c>
      <c r="B178" s="131">
        <f t="shared" si="54"/>
        <v>53020.367165908574</v>
      </c>
      <c r="C178" s="124">
        <f t="shared" si="47"/>
        <v>0.039288000000000003</v>
      </c>
      <c r="D178" s="125">
        <f t="shared" si="45"/>
        <v>0.003274</v>
      </c>
      <c r="E178" s="126">
        <f t="shared" si="46"/>
        <v>8938.21</v>
      </c>
      <c r="F178" s="126">
        <f t="shared" si="48"/>
        <v>173.58868210118467</v>
      </c>
      <c r="G178" s="126">
        <f t="shared" si="49"/>
        <v>8764.621317898815</v>
      </c>
      <c r="H178" s="127">
        <v>40330</v>
      </c>
      <c r="J178" s="117">
        <f t="shared" si="58"/>
        <v>0.019420967072958085</v>
      </c>
      <c r="K178" s="117">
        <f t="shared" si="59"/>
        <v>0.980579032927042</v>
      </c>
      <c r="L178" s="128"/>
      <c r="M178" s="108"/>
      <c r="N178" s="91">
        <v>115</v>
      </c>
      <c r="O178" s="129">
        <f t="shared" si="55"/>
        <v>58299.18685316104</v>
      </c>
      <c r="P178" s="89">
        <f>RATE(P28,-Q30,Q23)</f>
        <v>0.007083333333333172</v>
      </c>
      <c r="Q178" s="63">
        <f aca="true" t="shared" si="60" ref="Q178:Q183">+Q177</f>
        <v>9958.837001851518</v>
      </c>
      <c r="R178" s="63">
        <f t="shared" si="50"/>
        <v>412.9525735432146</v>
      </c>
      <c r="S178" s="63">
        <f t="shared" si="51"/>
        <v>9545.884428308304</v>
      </c>
      <c r="T178" s="130">
        <v>40330</v>
      </c>
      <c r="U178" s="40"/>
      <c r="V178" s="40"/>
      <c r="W178" s="40"/>
      <c r="X178" s="40"/>
      <c r="Y178" s="40"/>
      <c r="Z178" s="40"/>
      <c r="AA178" s="40"/>
    </row>
    <row r="179" spans="1:27" ht="12.75">
      <c r="A179" s="90">
        <v>116</v>
      </c>
      <c r="B179" s="131">
        <f t="shared" si="54"/>
        <v>44255.745848009756</v>
      </c>
      <c r="C179" s="124">
        <f t="shared" si="47"/>
        <v>0.039288000000000003</v>
      </c>
      <c r="D179" s="125">
        <f t="shared" si="45"/>
        <v>0.003274</v>
      </c>
      <c r="E179" s="126">
        <f t="shared" si="46"/>
        <v>8938.21</v>
      </c>
      <c r="F179" s="126">
        <f t="shared" si="48"/>
        <v>144.89331190638393</v>
      </c>
      <c r="G179" s="126">
        <f t="shared" si="49"/>
        <v>8793.316688093615</v>
      </c>
      <c r="H179" s="127">
        <v>40360</v>
      </c>
      <c r="J179" s="117">
        <f t="shared" si="58"/>
        <v>0.01621055131915495</v>
      </c>
      <c r="K179" s="117">
        <f t="shared" si="59"/>
        <v>0.9837894486808451</v>
      </c>
      <c r="L179" s="128"/>
      <c r="M179" s="108"/>
      <c r="N179" s="91">
        <v>116</v>
      </c>
      <c r="O179" s="129">
        <f t="shared" si="55"/>
        <v>48753.302424852736</v>
      </c>
      <c r="P179" s="89">
        <f>RATE(P28,-Q30,Q23)</f>
        <v>0.007083333333333172</v>
      </c>
      <c r="Q179" s="63">
        <f t="shared" si="60"/>
        <v>9958.837001851518</v>
      </c>
      <c r="R179" s="63">
        <f t="shared" si="50"/>
        <v>345.33589217603236</v>
      </c>
      <c r="S179" s="63">
        <f t="shared" si="51"/>
        <v>9613.501109675486</v>
      </c>
      <c r="T179" s="130">
        <v>40360</v>
      </c>
      <c r="U179" s="40"/>
      <c r="V179" s="40"/>
      <c r="W179" s="40"/>
      <c r="X179" s="40"/>
      <c r="Y179" s="40"/>
      <c r="Z179" s="40"/>
      <c r="AA179" s="40"/>
    </row>
    <row r="180" spans="1:27" ht="12.75">
      <c r="A180" s="90">
        <v>117</v>
      </c>
      <c r="B180" s="131">
        <f t="shared" si="54"/>
        <v>35462.42915991614</v>
      </c>
      <c r="C180" s="124">
        <f t="shared" si="47"/>
        <v>0.039288000000000003</v>
      </c>
      <c r="D180" s="125">
        <f t="shared" si="45"/>
        <v>0.003274</v>
      </c>
      <c r="E180" s="126">
        <f t="shared" si="46"/>
        <v>8938.21</v>
      </c>
      <c r="F180" s="126">
        <f t="shared" si="48"/>
        <v>116.10399306956543</v>
      </c>
      <c r="G180" s="126">
        <f t="shared" si="49"/>
        <v>8822.106006930433</v>
      </c>
      <c r="H180" s="127">
        <v>40391</v>
      </c>
      <c r="J180" s="117">
        <f t="shared" si="58"/>
        <v>0.012989624664173862</v>
      </c>
      <c r="K180" s="117">
        <f t="shared" si="59"/>
        <v>0.987010375335826</v>
      </c>
      <c r="L180" s="128"/>
      <c r="M180" s="108"/>
      <c r="N180" s="91">
        <v>117</v>
      </c>
      <c r="O180" s="129">
        <f t="shared" si="55"/>
        <v>39139.80131517725</v>
      </c>
      <c r="P180" s="89">
        <f>RATE(P28,-Q30,Q23)</f>
        <v>0.007083333333333172</v>
      </c>
      <c r="Q180" s="63">
        <f t="shared" si="60"/>
        <v>9958.837001851518</v>
      </c>
      <c r="R180" s="63">
        <f t="shared" si="50"/>
        <v>277.2402593158325</v>
      </c>
      <c r="S180" s="63">
        <f t="shared" si="51"/>
        <v>9681.596742535685</v>
      </c>
      <c r="T180" s="130">
        <v>40391</v>
      </c>
      <c r="U180" s="40"/>
      <c r="V180" s="40"/>
      <c r="W180" s="40"/>
      <c r="X180" s="40"/>
      <c r="Y180" s="40"/>
      <c r="Z180" s="40"/>
      <c r="AA180" s="40"/>
    </row>
    <row r="181" spans="1:27" ht="12.75">
      <c r="A181" s="90">
        <v>118</v>
      </c>
      <c r="B181" s="131">
        <f t="shared" si="54"/>
        <v>26640.323152985704</v>
      </c>
      <c r="C181" s="124">
        <f t="shared" si="47"/>
        <v>0.039288000000000003</v>
      </c>
      <c r="D181" s="125">
        <f t="shared" si="45"/>
        <v>0.003274</v>
      </c>
      <c r="E181" s="126">
        <f t="shared" si="46"/>
        <v>8938.21</v>
      </c>
      <c r="F181" s="126">
        <f t="shared" si="48"/>
        <v>87.22041800287519</v>
      </c>
      <c r="G181" s="126">
        <f t="shared" si="49"/>
        <v>8850.989581997124</v>
      </c>
      <c r="H181" s="127">
        <v>40422</v>
      </c>
      <c r="J181" s="117">
        <f t="shared" si="58"/>
        <v>0.009758152695324367</v>
      </c>
      <c r="K181" s="117">
        <f t="shared" si="59"/>
        <v>0.9902418473046757</v>
      </c>
      <c r="L181" s="128"/>
      <c r="M181" s="108"/>
      <c r="N181" s="91">
        <v>118</v>
      </c>
      <c r="O181" s="129">
        <f t="shared" si="55"/>
        <v>29458.20457264156</v>
      </c>
      <c r="P181" s="89">
        <f>RATE(P28,-Q30,Q23)</f>
        <v>0.007083333333333172</v>
      </c>
      <c r="Q181" s="63">
        <f t="shared" si="60"/>
        <v>9958.837001851518</v>
      </c>
      <c r="R181" s="63">
        <f t="shared" si="50"/>
        <v>208.66228238953963</v>
      </c>
      <c r="S181" s="63">
        <f t="shared" si="51"/>
        <v>9750.174719461978</v>
      </c>
      <c r="T181" s="130">
        <v>40422</v>
      </c>
      <c r="U181" s="40"/>
      <c r="V181" s="40"/>
      <c r="W181" s="40"/>
      <c r="X181" s="40"/>
      <c r="Y181" s="40"/>
      <c r="Z181" s="40"/>
      <c r="AA181" s="40"/>
    </row>
    <row r="182" spans="1:27" ht="12.75">
      <c r="A182" s="90">
        <v>119</v>
      </c>
      <c r="B182" s="131">
        <f t="shared" si="54"/>
        <v>17789.33357098858</v>
      </c>
      <c r="C182" s="124">
        <f t="shared" si="47"/>
        <v>0.039288000000000003</v>
      </c>
      <c r="D182" s="125">
        <f t="shared" si="45"/>
        <v>0.003274</v>
      </c>
      <c r="E182" s="126">
        <f t="shared" si="46"/>
        <v>8938.21</v>
      </c>
      <c r="F182" s="126">
        <f t="shared" si="48"/>
        <v>58.24227811141661</v>
      </c>
      <c r="G182" s="126">
        <f t="shared" si="49"/>
        <v>8879.967721888583</v>
      </c>
      <c r="H182" s="127">
        <v>40452</v>
      </c>
      <c r="J182" s="117">
        <f t="shared" si="58"/>
        <v>0.006516100887248858</v>
      </c>
      <c r="K182" s="117">
        <f t="shared" si="59"/>
        <v>0.9934838991127511</v>
      </c>
      <c r="L182" s="128"/>
      <c r="M182" s="108"/>
      <c r="N182" s="91">
        <v>119</v>
      </c>
      <c r="O182" s="129">
        <f t="shared" si="55"/>
        <v>19708.02985317958</v>
      </c>
      <c r="P182" s="89">
        <f>RATE(P28,-Q30,Q23)</f>
        <v>0.007083333333333172</v>
      </c>
      <c r="Q182" s="63">
        <f t="shared" si="60"/>
        <v>9958.837001851518</v>
      </c>
      <c r="R182" s="63">
        <f t="shared" si="50"/>
        <v>139.59854479335218</v>
      </c>
      <c r="S182" s="63">
        <f t="shared" si="51"/>
        <v>9819.238457058165</v>
      </c>
      <c r="T182" s="130">
        <v>40452</v>
      </c>
      <c r="U182" s="40"/>
      <c r="V182" s="40"/>
      <c r="W182" s="40"/>
      <c r="X182" s="40"/>
      <c r="Y182" s="40"/>
      <c r="Z182" s="40"/>
      <c r="AA182" s="40"/>
    </row>
    <row r="183" spans="1:27" ht="12.75">
      <c r="A183" s="90">
        <v>120</v>
      </c>
      <c r="B183" s="131">
        <f t="shared" si="54"/>
        <v>8909.365849099997</v>
      </c>
      <c r="C183" s="124">
        <f t="shared" si="47"/>
        <v>0.039288000000000003</v>
      </c>
      <c r="D183" s="125">
        <f t="shared" si="45"/>
        <v>0.003274</v>
      </c>
      <c r="E183" s="126">
        <f t="shared" si="46"/>
        <v>8938.21</v>
      </c>
      <c r="F183" s="126">
        <f t="shared" si="48"/>
        <v>29.16926378995339</v>
      </c>
      <c r="G183" s="126">
        <f t="shared" si="49"/>
        <v>8909.040736210045</v>
      </c>
      <c r="H183" s="127">
        <v>40483</v>
      </c>
      <c r="J183" s="117">
        <f t="shared" si="58"/>
        <v>0.003263434601553711</v>
      </c>
      <c r="K183" s="117">
        <f t="shared" si="59"/>
        <v>0.9967365653984462</v>
      </c>
      <c r="L183" s="128"/>
      <c r="M183" s="108"/>
      <c r="N183" s="91">
        <v>120</v>
      </c>
      <c r="O183" s="129">
        <f t="shared" si="55"/>
        <v>9888.791396121416</v>
      </c>
      <c r="P183" s="89">
        <f>RATE(P28,-Q30,Q23)</f>
        <v>0.007083333333333172</v>
      </c>
      <c r="Q183" s="63">
        <f t="shared" si="60"/>
        <v>9958.837001851518</v>
      </c>
      <c r="R183" s="63">
        <f t="shared" si="50"/>
        <v>70.0456057225251</v>
      </c>
      <c r="S183" s="63">
        <f t="shared" si="51"/>
        <v>9888.791396128992</v>
      </c>
      <c r="T183" s="130">
        <v>40483</v>
      </c>
      <c r="U183" s="40"/>
      <c r="V183" s="40"/>
      <c r="W183" s="40"/>
      <c r="X183" s="40"/>
      <c r="Y183" s="40"/>
      <c r="Z183" s="40"/>
      <c r="AA183" s="40"/>
    </row>
    <row r="184" spans="1:27" ht="17.25" customHeight="1">
      <c r="A184" s="90"/>
      <c r="B184" s="131"/>
      <c r="C184" s="131"/>
      <c r="D184" s="82"/>
      <c r="E184" s="60">
        <f>SUM(E64:E183)</f>
        <v>1129235.7231218095</v>
      </c>
      <c r="F184" s="60">
        <f>SUM(F64:F183)</f>
        <v>322192.53239556286</v>
      </c>
      <c r="G184" s="60">
        <f>SUM(G64:G183)</f>
        <v>807043.1907262468</v>
      </c>
      <c r="H184" s="90"/>
      <c r="I184" s="131"/>
      <c r="J184" s="82"/>
      <c r="K184" s="108"/>
      <c r="L184" s="128"/>
      <c r="M184" s="108"/>
      <c r="N184" s="91"/>
      <c r="O184" s="129"/>
      <c r="P184" s="89"/>
      <c r="Q184" s="63">
        <f>SUM(Q64:Q183)</f>
        <v>1199965.3911907072</v>
      </c>
      <c r="R184" s="63"/>
      <c r="S184" s="63"/>
      <c r="T184" s="144"/>
      <c r="U184" s="40"/>
      <c r="V184" s="40"/>
      <c r="W184" s="40"/>
      <c r="X184" s="40"/>
      <c r="Y184" s="40"/>
      <c r="Z184" s="40"/>
      <c r="AA184" s="40"/>
    </row>
    <row r="185" spans="1:27" ht="18.75" customHeight="1">
      <c r="A185" s="90"/>
      <c r="B185" s="131"/>
      <c r="C185" s="82" t="s">
        <v>245</v>
      </c>
      <c r="D185" s="60">
        <f>+E183</f>
        <v>8938.21</v>
      </c>
      <c r="E185" s="60">
        <f>SUM(E173:E183)</f>
        <v>98320.30999999997</v>
      </c>
      <c r="F185" s="60">
        <f>SUM(F173:F183)</f>
        <v>1904.3251128899344</v>
      </c>
      <c r="G185" s="60">
        <f>SUM(G173:G183)</f>
        <v>96415.98488711007</v>
      </c>
      <c r="H185" s="90"/>
      <c r="I185" s="131"/>
      <c r="J185" s="82"/>
      <c r="K185" s="108"/>
      <c r="L185" s="128"/>
      <c r="M185" s="108"/>
      <c r="N185" s="91"/>
      <c r="O185" s="129"/>
      <c r="P185" s="89"/>
      <c r="Q185" s="63"/>
      <c r="R185" s="63"/>
      <c r="S185" s="63"/>
      <c r="T185" s="40"/>
      <c r="U185" s="40"/>
      <c r="V185" s="40"/>
      <c r="W185" s="40"/>
      <c r="X185" s="40"/>
      <c r="Y185" s="40"/>
      <c r="Z185" s="40"/>
      <c r="AA185" s="40"/>
    </row>
    <row r="186" spans="1:27" ht="12.75">
      <c r="A186" s="90"/>
      <c r="B186" s="131"/>
      <c r="C186" s="131"/>
      <c r="E186" s="175" t="s">
        <v>344</v>
      </c>
      <c r="F186" s="176" t="s">
        <v>278</v>
      </c>
      <c r="G186" s="175" t="s">
        <v>277</v>
      </c>
      <c r="H186" s="90"/>
      <c r="I186" s="131"/>
      <c r="J186" s="82"/>
      <c r="K186" s="145"/>
      <c r="L186" s="128"/>
      <c r="M186" s="108"/>
      <c r="N186" s="91"/>
      <c r="O186" s="129"/>
      <c r="P186" s="89" t="s">
        <v>245</v>
      </c>
      <c r="Q186" s="63">
        <f>+Q183</f>
        <v>9958.837001851518</v>
      </c>
      <c r="R186" s="63"/>
      <c r="S186" s="63"/>
      <c r="T186" s="40"/>
      <c r="U186" s="40"/>
      <c r="V186" s="40"/>
      <c r="W186" s="40"/>
      <c r="X186" s="40"/>
      <c r="Y186" s="40"/>
      <c r="Z186" s="40"/>
      <c r="AA186" s="40"/>
    </row>
    <row r="187" spans="1:7" ht="12.75">
      <c r="A187" s="90"/>
      <c r="B187" s="131"/>
      <c r="C187" s="131"/>
      <c r="D187" s="82"/>
      <c r="E187" s="135">
        <v>98320.31</v>
      </c>
      <c r="F187" s="135">
        <f>SUM(F173:F183)</f>
        <v>1904.3251128899344</v>
      </c>
      <c r="G187" s="135">
        <f>SUM(G173:G183)</f>
        <v>96415.98488711007</v>
      </c>
    </row>
    <row r="188" spans="1:7" ht="12.75">
      <c r="A188" s="90"/>
      <c r="B188" s="131"/>
      <c r="C188" s="131"/>
      <c r="E188" s="173" t="s">
        <v>279</v>
      </c>
      <c r="F188" s="173" t="s">
        <v>280</v>
      </c>
      <c r="G188" s="173" t="s">
        <v>280</v>
      </c>
    </row>
    <row r="189" spans="1:7" ht="12.75">
      <c r="A189" s="90"/>
      <c r="B189" s="131"/>
      <c r="C189" s="131"/>
      <c r="E189" s="173">
        <v>41191214</v>
      </c>
      <c r="F189" s="173">
        <v>402600</v>
      </c>
      <c r="G189" s="173">
        <v>420070</v>
      </c>
    </row>
    <row r="190" spans="1:7" ht="12.75">
      <c r="A190" s="90"/>
      <c r="B190" s="131"/>
      <c r="C190" s="131"/>
      <c r="D190" s="82"/>
      <c r="E190" s="108"/>
      <c r="F190" s="128"/>
      <c r="G190" s="108"/>
    </row>
    <row r="191" spans="1:19" ht="12.75">
      <c r="A191" s="90"/>
      <c r="B191" s="131"/>
      <c r="C191" s="131"/>
      <c r="D191" s="82"/>
      <c r="R191" s="68" t="s">
        <v>0</v>
      </c>
      <c r="S191" s="68" t="s">
        <v>2</v>
      </c>
    </row>
    <row r="192" spans="1:19" ht="12.75">
      <c r="A192" s="90"/>
      <c r="B192" s="131"/>
      <c r="C192" s="131"/>
      <c r="D192" s="146"/>
      <c r="P192" s="356">
        <f>+SUM(Q77:Q88)</f>
        <v>120494.44601481211</v>
      </c>
      <c r="Q192" s="356"/>
      <c r="R192" s="147">
        <f>+SUM(R77:R88)</f>
        <v>61125.49707366247</v>
      </c>
      <c r="S192" s="147">
        <f>+SUM(S77:S88)</f>
        <v>59368.94894114969</v>
      </c>
    </row>
    <row r="193" spans="1:19" ht="12.75">
      <c r="A193" s="90"/>
      <c r="B193" s="131">
        <v>222.72</v>
      </c>
      <c r="C193" s="131"/>
      <c r="D193" s="82"/>
      <c r="P193" s="356"/>
      <c r="Q193" s="356"/>
      <c r="R193" s="68">
        <f>+R192*226.5</f>
        <v>13844925.087184548</v>
      </c>
      <c r="S193" s="68">
        <f>+S192*226.5</f>
        <v>13447066.935170405</v>
      </c>
    </row>
    <row r="194" spans="1:7" ht="12.75">
      <c r="A194" s="90"/>
      <c r="B194" s="131">
        <v>223.06</v>
      </c>
      <c r="C194" s="131"/>
      <c r="D194" s="82"/>
      <c r="E194" s="108"/>
      <c r="F194" s="128"/>
      <c r="G194" s="108"/>
    </row>
    <row r="195" spans="1:7" ht="12.75">
      <c r="A195" s="90"/>
      <c r="B195" s="131">
        <v>224.58</v>
      </c>
      <c r="C195" s="131"/>
      <c r="D195" s="82"/>
      <c r="E195" s="108"/>
      <c r="F195" s="128"/>
      <c r="G195" s="108"/>
    </row>
    <row r="196" spans="1:7" ht="12.75">
      <c r="A196" s="90"/>
      <c r="B196" s="131">
        <v>225.34</v>
      </c>
      <c r="C196" s="131"/>
      <c r="D196" s="82"/>
      <c r="E196" s="108"/>
      <c r="F196" s="128"/>
      <c r="G196" s="108"/>
    </row>
    <row r="197" spans="1:7" ht="12.75">
      <c r="A197" s="90"/>
      <c r="B197" s="131">
        <v>226.02</v>
      </c>
      <c r="C197" s="131"/>
      <c r="D197" s="82"/>
      <c r="E197" s="108"/>
      <c r="F197" s="148" t="s">
        <v>0</v>
      </c>
      <c r="G197" s="149" t="s">
        <v>2</v>
      </c>
    </row>
    <row r="198" spans="1:7" ht="12.75">
      <c r="A198" s="90"/>
      <c r="B198" s="131">
        <v>226.77</v>
      </c>
      <c r="C198" s="131"/>
      <c r="D198" s="82"/>
      <c r="E198" s="60">
        <f>SUM(E77:E88)</f>
        <v>121171.10908828383</v>
      </c>
      <c r="F198" s="60">
        <f>SUM(F77:F88)</f>
        <v>61108.48209483171</v>
      </c>
      <c r="G198" s="60">
        <f>SUM(G77:G88)</f>
        <v>60062.62699345215</v>
      </c>
    </row>
    <row r="199" spans="1:7" ht="15.75">
      <c r="A199" s="90"/>
      <c r="B199" s="131">
        <v>227.53</v>
      </c>
      <c r="C199" s="131"/>
      <c r="D199" s="150">
        <v>2002</v>
      </c>
      <c r="E199" s="151">
        <f>+E198*B205</f>
        <v>27490594.39848015</v>
      </c>
      <c r="F199" s="151">
        <f>+F198*B205</f>
        <v>13863935.951529862</v>
      </c>
      <c r="G199" s="151">
        <f>+G198*B205</f>
        <v>13626658.446950294</v>
      </c>
    </row>
    <row r="200" spans="1:7" ht="12.75">
      <c r="A200" s="90"/>
      <c r="B200" s="131">
        <v>228.07</v>
      </c>
      <c r="C200" s="131"/>
      <c r="D200" s="82"/>
      <c r="E200" s="108"/>
      <c r="F200" s="128"/>
      <c r="G200" s="108"/>
    </row>
    <row r="201" spans="1:7" ht="12.75">
      <c r="A201" s="90"/>
      <c r="B201" s="131">
        <v>228.5</v>
      </c>
      <c r="C201" s="131"/>
      <c r="D201" s="82"/>
      <c r="E201" s="108"/>
      <c r="F201" s="128"/>
      <c r="G201" s="108"/>
    </row>
    <row r="202" spans="1:7" ht="12.75">
      <c r="A202" s="90"/>
      <c r="B202" s="131">
        <v>229.3</v>
      </c>
      <c r="C202" s="131"/>
      <c r="D202" s="82"/>
      <c r="E202" s="108"/>
      <c r="F202" s="128"/>
      <c r="G202" s="108"/>
    </row>
    <row r="203" spans="1:7" ht="12.75">
      <c r="A203" s="90"/>
      <c r="B203" s="131">
        <v>230</v>
      </c>
      <c r="C203" s="131"/>
      <c r="D203" s="82"/>
      <c r="E203" s="108"/>
      <c r="F203" s="128"/>
      <c r="G203" s="108"/>
    </row>
    <row r="204" spans="1:7" ht="12.75">
      <c r="A204" s="90"/>
      <c r="B204" s="131">
        <v>230.6</v>
      </c>
      <c r="C204" s="131"/>
      <c r="D204" s="82"/>
      <c r="E204" s="108"/>
      <c r="F204" s="128"/>
      <c r="G204" s="108"/>
    </row>
    <row r="205" spans="1:7" ht="15">
      <c r="A205" s="90"/>
      <c r="B205" s="152">
        <f>AVERAGE(B193:B204)</f>
        <v>226.87416666666664</v>
      </c>
      <c r="C205" s="152"/>
      <c r="D205" s="153" t="s">
        <v>246</v>
      </c>
      <c r="E205" s="108"/>
      <c r="F205" s="128"/>
      <c r="G205" s="108"/>
    </row>
    <row r="206" spans="1:7" ht="12.75">
      <c r="A206" s="90"/>
      <c r="B206" s="131">
        <v>230.6</v>
      </c>
      <c r="C206" s="131"/>
      <c r="D206" s="82"/>
      <c r="E206" s="108"/>
      <c r="F206" s="128"/>
      <c r="G206" s="108"/>
    </row>
    <row r="207" spans="1:7" ht="12.75">
      <c r="A207" s="90"/>
      <c r="B207" s="131">
        <v>232.1</v>
      </c>
      <c r="C207" s="131"/>
      <c r="D207" s="82"/>
      <c r="E207" s="108"/>
      <c r="F207" s="128"/>
      <c r="G207" s="108"/>
    </row>
    <row r="208" spans="1:7" ht="12.75">
      <c r="A208" s="90"/>
      <c r="B208" s="131">
        <f>+B207+0.7</f>
        <v>232.79999999999998</v>
      </c>
      <c r="C208" s="131"/>
      <c r="D208" s="82"/>
      <c r="E208" s="108"/>
      <c r="F208" s="128"/>
      <c r="G208" s="108"/>
    </row>
    <row r="209" spans="1:7" ht="12.75">
      <c r="A209" s="90"/>
      <c r="B209" s="131">
        <f aca="true" t="shared" si="61" ref="B209:B217">+B208+0.9</f>
        <v>233.7</v>
      </c>
      <c r="C209" s="131"/>
      <c r="D209" s="82"/>
      <c r="E209" s="108"/>
      <c r="F209" s="128"/>
      <c r="G209" s="108"/>
    </row>
    <row r="210" spans="1:7" ht="12.75">
      <c r="A210" s="90"/>
      <c r="B210" s="131">
        <f t="shared" si="61"/>
        <v>234.6</v>
      </c>
      <c r="C210" s="131"/>
      <c r="D210" s="82"/>
      <c r="E210" s="108"/>
      <c r="F210" s="128"/>
      <c r="G210" s="108"/>
    </row>
    <row r="211" spans="1:7" ht="12.75">
      <c r="A211" s="90"/>
      <c r="B211" s="131">
        <f t="shared" si="61"/>
        <v>235.5</v>
      </c>
      <c r="C211" s="131"/>
      <c r="D211" s="82"/>
      <c r="E211" s="108"/>
      <c r="F211" s="148" t="s">
        <v>0</v>
      </c>
      <c r="G211" s="149" t="s">
        <v>2</v>
      </c>
    </row>
    <row r="212" spans="1:7" ht="12.75">
      <c r="A212" s="90"/>
      <c r="B212" s="131">
        <f t="shared" si="61"/>
        <v>236.4</v>
      </c>
      <c r="C212" s="131"/>
      <c r="D212" s="82"/>
      <c r="E212" s="60">
        <f>SUM(E89:E100)</f>
        <v>115370.44</v>
      </c>
      <c r="F212" s="60">
        <f>SUM(F89:F100)</f>
        <v>47617.53641628814</v>
      </c>
      <c r="G212" s="60">
        <f>SUM(G89:G100)</f>
        <v>67752.90358371187</v>
      </c>
    </row>
    <row r="213" spans="1:7" ht="15.75">
      <c r="A213" s="90"/>
      <c r="B213" s="131">
        <f t="shared" si="61"/>
        <v>237.3</v>
      </c>
      <c r="C213" s="131"/>
      <c r="D213" s="150">
        <v>2003</v>
      </c>
      <c r="E213" s="151">
        <f>+E212*B218</f>
        <v>27219732.47733333</v>
      </c>
      <c r="F213" s="151">
        <f>+F212*B218</f>
        <v>11234564.091816247</v>
      </c>
      <c r="G213" s="151">
        <f>+G212*B218</f>
        <v>15985168.385517087</v>
      </c>
    </row>
    <row r="214" spans="1:7" ht="12.75">
      <c r="A214" s="90"/>
      <c r="B214" s="131">
        <f t="shared" si="61"/>
        <v>238.20000000000002</v>
      </c>
      <c r="C214" s="131"/>
      <c r="D214" s="82"/>
      <c r="E214" s="108"/>
      <c r="F214" s="128"/>
      <c r="G214" s="108"/>
    </row>
    <row r="215" spans="1:7" ht="12.75">
      <c r="A215" s="90"/>
      <c r="B215" s="131">
        <f t="shared" si="61"/>
        <v>239.10000000000002</v>
      </c>
      <c r="C215" s="131"/>
      <c r="D215" s="82"/>
      <c r="E215" s="108"/>
      <c r="F215" s="128"/>
      <c r="G215" s="108"/>
    </row>
    <row r="216" spans="1:7" ht="12.75">
      <c r="A216" s="90"/>
      <c r="B216" s="131">
        <f t="shared" si="61"/>
        <v>240.00000000000003</v>
      </c>
      <c r="C216" s="131"/>
      <c r="D216" s="82"/>
      <c r="E216" s="108"/>
      <c r="F216" s="128"/>
      <c r="G216" s="108"/>
    </row>
    <row r="217" spans="1:7" ht="12.75">
      <c r="A217" s="90"/>
      <c r="B217" s="131">
        <f t="shared" si="61"/>
        <v>240.90000000000003</v>
      </c>
      <c r="C217" s="131"/>
      <c r="D217" s="82"/>
      <c r="E217" s="108"/>
      <c r="F217" s="128"/>
      <c r="G217" s="108"/>
    </row>
    <row r="218" spans="1:4" ht="15">
      <c r="A218" s="90"/>
      <c r="B218" s="152">
        <f>AVERAGE(B206:B217)</f>
        <v>235.9333333333333</v>
      </c>
      <c r="C218" s="152"/>
      <c r="D218" s="153" t="s">
        <v>246</v>
      </c>
    </row>
    <row r="219" spans="1:4" ht="12.75">
      <c r="A219" s="90"/>
      <c r="B219" s="131">
        <v>237</v>
      </c>
      <c r="C219" s="131"/>
      <c r="D219" s="154"/>
    </row>
    <row r="220" spans="1:4" ht="12.75">
      <c r="A220" s="90"/>
      <c r="B220" s="131">
        <f aca="true" t="shared" si="62" ref="B220:B230">+B219+0.5</f>
        <v>237.5</v>
      </c>
      <c r="C220" s="131"/>
      <c r="D220" s="82"/>
    </row>
    <row r="221" spans="1:5" ht="12.75">
      <c r="A221" s="90"/>
      <c r="B221" s="131">
        <f t="shared" si="62"/>
        <v>238</v>
      </c>
      <c r="C221" s="131"/>
      <c r="D221" s="82"/>
      <c r="E221" s="108"/>
    </row>
    <row r="222" spans="1:7" ht="12.75">
      <c r="A222" s="90"/>
      <c r="B222" s="131">
        <f t="shared" si="62"/>
        <v>238.5</v>
      </c>
      <c r="C222" s="131"/>
      <c r="D222" s="82"/>
      <c r="E222" s="108"/>
      <c r="F222" s="128"/>
      <c r="G222" s="108"/>
    </row>
    <row r="223" spans="1:7" ht="12.75">
      <c r="A223" s="90"/>
      <c r="B223" s="131">
        <f t="shared" si="62"/>
        <v>239</v>
      </c>
      <c r="C223" s="131"/>
      <c r="D223" s="82"/>
      <c r="E223" s="108"/>
      <c r="F223" s="148" t="s">
        <v>0</v>
      </c>
      <c r="G223" s="149" t="s">
        <v>2</v>
      </c>
    </row>
    <row r="224" spans="1:7" ht="12.75">
      <c r="A224" s="90"/>
      <c r="B224" s="131">
        <f t="shared" si="62"/>
        <v>239.5</v>
      </c>
      <c r="C224" s="131"/>
      <c r="D224" s="82"/>
      <c r="E224" s="60">
        <f>SUM(E101:E112)</f>
        <v>114340.32</v>
      </c>
      <c r="F224" s="60">
        <f>SUM(F101:F112)</f>
        <v>40967.84004677074</v>
      </c>
      <c r="G224" s="60">
        <f>SUM(G101:G112)</f>
        <v>73372.47995322927</v>
      </c>
    </row>
    <row r="225" spans="1:7" ht="15.75">
      <c r="A225" s="90"/>
      <c r="B225" s="131">
        <f t="shared" si="62"/>
        <v>240</v>
      </c>
      <c r="C225" s="131"/>
      <c r="D225" s="150">
        <v>2004</v>
      </c>
      <c r="E225" s="151">
        <f>+E224*$B$231</f>
        <v>27413091.720000003</v>
      </c>
      <c r="F225" s="151">
        <f>+F224*$B$231</f>
        <v>9822039.651213285</v>
      </c>
      <c r="G225" s="151">
        <f>+G224*$B$231</f>
        <v>17591052.068786718</v>
      </c>
    </row>
    <row r="226" spans="1:7" ht="12.75">
      <c r="A226" s="90"/>
      <c r="B226" s="131">
        <f t="shared" si="62"/>
        <v>240.5</v>
      </c>
      <c r="C226" s="131"/>
      <c r="D226" s="82"/>
      <c r="E226" s="108"/>
      <c r="F226" s="128"/>
      <c r="G226" s="108"/>
    </row>
    <row r="227" spans="1:7" ht="12.75">
      <c r="A227" s="90"/>
      <c r="B227" s="131">
        <f t="shared" si="62"/>
        <v>241</v>
      </c>
      <c r="C227" s="131"/>
      <c r="D227" s="82"/>
      <c r="E227" s="108"/>
      <c r="F227" s="128"/>
      <c r="G227" s="108"/>
    </row>
    <row r="228" spans="1:7" ht="12.75">
      <c r="A228" s="90"/>
      <c r="B228" s="131">
        <f t="shared" si="62"/>
        <v>241.5</v>
      </c>
      <c r="C228" s="131"/>
      <c r="D228" s="82"/>
      <c r="E228" s="108"/>
      <c r="F228" s="128"/>
      <c r="G228" s="108"/>
    </row>
    <row r="229" spans="1:7" ht="12.75">
      <c r="A229" s="90"/>
      <c r="B229" s="131">
        <f t="shared" si="62"/>
        <v>242</v>
      </c>
      <c r="C229" s="131"/>
      <c r="D229" s="82"/>
      <c r="E229" s="108"/>
      <c r="F229" s="128"/>
      <c r="G229" s="108"/>
    </row>
    <row r="230" spans="1:7" ht="12.75">
      <c r="A230" s="90"/>
      <c r="B230" s="131">
        <f t="shared" si="62"/>
        <v>242.5</v>
      </c>
      <c r="C230" s="131"/>
      <c r="D230" s="82"/>
      <c r="E230" s="108"/>
      <c r="F230" s="128"/>
      <c r="G230" s="108"/>
    </row>
    <row r="231" spans="1:7" ht="15">
      <c r="A231" s="90"/>
      <c r="B231" s="152">
        <f>AVERAGE(B219:B230)</f>
        <v>239.75</v>
      </c>
      <c r="C231" s="152"/>
      <c r="D231" s="153" t="s">
        <v>246</v>
      </c>
      <c r="E231" s="108"/>
      <c r="F231" s="128"/>
      <c r="G231" s="108"/>
    </row>
    <row r="232" spans="1:4" ht="12.75">
      <c r="A232" s="90"/>
      <c r="B232" s="131"/>
      <c r="C232" s="131"/>
      <c r="D232" s="154"/>
    </row>
    <row r="233" spans="1:4" ht="12.75">
      <c r="A233" s="90"/>
      <c r="B233" s="131"/>
      <c r="C233" s="131"/>
      <c r="D233" s="82"/>
    </row>
    <row r="234" spans="1:5" ht="12.75">
      <c r="A234" s="90"/>
      <c r="B234" s="131"/>
      <c r="C234" s="131"/>
      <c r="D234" s="82"/>
      <c r="E234" s="108"/>
    </row>
    <row r="235" spans="1:7" ht="12.75">
      <c r="A235" s="90"/>
      <c r="B235" s="131"/>
      <c r="C235" s="131"/>
      <c r="D235" s="82"/>
      <c r="E235" s="108"/>
      <c r="F235" s="128"/>
      <c r="G235" s="108"/>
    </row>
    <row r="236" spans="1:7" ht="12.75">
      <c r="A236" s="90"/>
      <c r="B236" s="131"/>
      <c r="C236" s="131"/>
      <c r="D236" s="82"/>
      <c r="E236" s="108"/>
      <c r="F236" s="148" t="s">
        <v>0</v>
      </c>
      <c r="G236" s="149" t="s">
        <v>2</v>
      </c>
    </row>
    <row r="237" spans="1:7" ht="12.75">
      <c r="A237" s="90"/>
      <c r="B237" s="131"/>
      <c r="C237" s="131"/>
      <c r="D237" s="82"/>
      <c r="E237" s="60">
        <f>SUM(E113:E124)</f>
        <v>110708.36999999998</v>
      </c>
      <c r="F237" s="60">
        <f>SUM(F113:F124)</f>
        <v>29591.322819694284</v>
      </c>
      <c r="G237" s="60">
        <f>SUM(G113:G124)</f>
        <v>81117.04718030572</v>
      </c>
    </row>
    <row r="238" spans="1:7" ht="15.75">
      <c r="A238" s="90"/>
      <c r="B238" s="131"/>
      <c r="C238" s="131"/>
      <c r="D238" s="150">
        <v>2005</v>
      </c>
      <c r="E238" s="151">
        <f>+E237*$B$231</f>
        <v>26542331.707499996</v>
      </c>
      <c r="F238" s="151">
        <f>+F237*$B$231</f>
        <v>7094519.646021704</v>
      </c>
      <c r="G238" s="151">
        <f>+G237*$B$231</f>
        <v>19447812.061478294</v>
      </c>
    </row>
    <row r="239" spans="1:7" ht="12.75">
      <c r="A239" s="90"/>
      <c r="B239" s="131"/>
      <c r="C239" s="131"/>
      <c r="D239" s="82"/>
      <c r="E239" s="108"/>
      <c r="F239" s="128"/>
      <c r="G239" s="108"/>
    </row>
    <row r="240" spans="1:7" ht="12.75">
      <c r="A240" s="90"/>
      <c r="B240" s="131"/>
      <c r="C240" s="131"/>
      <c r="D240" s="82"/>
      <c r="E240" s="108"/>
      <c r="F240" s="128"/>
      <c r="G240" s="108"/>
    </row>
    <row r="241" spans="1:7" ht="12.75">
      <c r="A241" s="90"/>
      <c r="B241" s="131"/>
      <c r="C241" s="131"/>
      <c r="D241" s="82"/>
      <c r="E241" s="108"/>
      <c r="F241" s="128"/>
      <c r="G241" s="108"/>
    </row>
    <row r="242" spans="1:7" ht="12.75">
      <c r="A242" s="90"/>
      <c r="B242" s="131"/>
      <c r="C242" s="131"/>
      <c r="D242" s="82"/>
      <c r="E242" s="108"/>
      <c r="F242" s="128"/>
      <c r="G242" s="108"/>
    </row>
    <row r="243" spans="1:7" ht="12.75">
      <c r="A243" s="90"/>
      <c r="B243" s="131"/>
      <c r="C243" s="131"/>
      <c r="D243" s="82"/>
      <c r="E243" s="108"/>
      <c r="F243" s="128"/>
      <c r="G243" s="108"/>
    </row>
    <row r="244" spans="2:7" ht="15">
      <c r="B244" s="152">
        <v>240.8</v>
      </c>
      <c r="C244" s="152"/>
      <c r="D244" s="153" t="s">
        <v>246</v>
      </c>
      <c r="E244" s="108"/>
      <c r="F244" s="128"/>
      <c r="G244" s="108"/>
    </row>
    <row r="245" spans="2:4" ht="12.75">
      <c r="B245" s="131"/>
      <c r="C245" s="131"/>
      <c r="D245" s="154"/>
    </row>
    <row r="246" spans="2:4" ht="12.75">
      <c r="B246" s="131"/>
      <c r="C246" s="131"/>
      <c r="D246" s="82"/>
    </row>
    <row r="247" spans="2:5" ht="12.75">
      <c r="B247" s="131"/>
      <c r="C247" s="131"/>
      <c r="D247" s="82"/>
      <c r="E247" s="108"/>
    </row>
    <row r="248" spans="2:7" ht="12.75">
      <c r="B248" s="131"/>
      <c r="C248" s="131"/>
      <c r="D248" s="82"/>
      <c r="E248" s="108"/>
      <c r="F248" s="128"/>
      <c r="G248" s="108"/>
    </row>
    <row r="249" spans="2:7" ht="12.75">
      <c r="B249" s="131"/>
      <c r="C249" s="131"/>
      <c r="D249" s="82"/>
      <c r="E249" s="108"/>
      <c r="F249" s="148" t="s">
        <v>0</v>
      </c>
      <c r="G249" s="149" t="s">
        <v>2</v>
      </c>
    </row>
    <row r="250" spans="2:7" ht="12.75">
      <c r="B250" s="131"/>
      <c r="C250" s="131"/>
      <c r="D250" s="82"/>
      <c r="E250" s="60">
        <f>SUM(E125:E136)</f>
        <v>108114.11999999998</v>
      </c>
      <c r="F250" s="60">
        <f>SUM(F125:F136)</f>
        <v>20790.735587116083</v>
      </c>
      <c r="G250" s="60">
        <f>SUM(G125:G136)</f>
        <v>87323.38441288393</v>
      </c>
    </row>
    <row r="251" spans="2:7" ht="15.75">
      <c r="B251" s="131"/>
      <c r="C251" s="131"/>
      <c r="D251" s="150">
        <v>2006</v>
      </c>
      <c r="E251" s="151">
        <f>+E250*242</f>
        <v>26163617.039999995</v>
      </c>
      <c r="F251" s="151">
        <f>+F250*242</f>
        <v>5031358.012082092</v>
      </c>
      <c r="G251" s="151">
        <f>+G250*242</f>
        <v>21132259.02791791</v>
      </c>
    </row>
    <row r="252" spans="2:7" ht="12.75">
      <c r="B252" s="131"/>
      <c r="C252" s="131"/>
      <c r="D252" s="82"/>
      <c r="E252" s="108"/>
      <c r="F252" s="128"/>
      <c r="G252" s="108"/>
    </row>
    <row r="253" spans="2:7" ht="12.75">
      <c r="B253" s="131"/>
      <c r="C253" s="131"/>
      <c r="D253" s="82"/>
      <c r="E253" s="108"/>
      <c r="F253" s="128"/>
      <c r="G253" s="108"/>
    </row>
    <row r="254" spans="2:7" ht="12.75">
      <c r="B254" s="131"/>
      <c r="C254" s="131"/>
      <c r="D254" s="82"/>
      <c r="E254" s="108"/>
      <c r="F254" s="128"/>
      <c r="G254" s="108"/>
    </row>
    <row r="255" spans="2:7" ht="12.75">
      <c r="B255" s="131"/>
      <c r="C255" s="131"/>
      <c r="D255" s="82"/>
      <c r="E255" s="108"/>
      <c r="F255" s="128"/>
      <c r="G255" s="108"/>
    </row>
    <row r="256" spans="2:7" ht="12.75">
      <c r="B256" s="131"/>
      <c r="C256" s="131"/>
      <c r="D256" s="82"/>
      <c r="E256" s="108"/>
      <c r="F256" s="128"/>
      <c r="G256" s="108"/>
    </row>
    <row r="257" spans="2:7" ht="15">
      <c r="B257" s="152"/>
      <c r="C257" s="152"/>
      <c r="D257" s="153"/>
      <c r="E257" s="108"/>
      <c r="F257" s="128"/>
      <c r="G257" s="108"/>
    </row>
    <row r="258" spans="2:4" ht="12.75">
      <c r="B258" s="131"/>
      <c r="C258" s="131"/>
      <c r="D258" s="154"/>
    </row>
    <row r="259" spans="2:4" ht="12.75">
      <c r="B259" s="131"/>
      <c r="C259" s="131"/>
      <c r="D259" s="82"/>
    </row>
    <row r="260" spans="2:5" ht="12.75">
      <c r="B260" s="131"/>
      <c r="C260" s="131"/>
      <c r="D260" s="82"/>
      <c r="E260" s="108"/>
    </row>
    <row r="261" spans="2:7" ht="12.75">
      <c r="B261" s="131"/>
      <c r="C261" s="131"/>
      <c r="D261" s="82"/>
      <c r="E261" s="108"/>
      <c r="F261" s="128"/>
      <c r="G261" s="108"/>
    </row>
    <row r="262" spans="2:7" ht="15">
      <c r="B262" s="131"/>
      <c r="C262" s="131"/>
      <c r="D262" s="152">
        <v>239.64</v>
      </c>
      <c r="E262" s="153" t="s">
        <v>246</v>
      </c>
      <c r="F262" s="148"/>
      <c r="G262" s="149"/>
    </row>
    <row r="263" spans="2:7" ht="12.75">
      <c r="B263" s="131"/>
      <c r="C263" s="131"/>
      <c r="D263" s="82"/>
      <c r="E263" s="60">
        <f>SUM(E137:E148)</f>
        <v>108532.5075968591</v>
      </c>
      <c r="F263" s="60">
        <f>SUM(F137:F148)</f>
        <v>18427.00276399885</v>
      </c>
      <c r="G263" s="60">
        <f>SUM(G137:G148)</f>
        <v>90105.50483286027</v>
      </c>
    </row>
    <row r="264" spans="4:9" ht="15.75">
      <c r="D264" s="150">
        <v>2007</v>
      </c>
      <c r="E264" s="151">
        <f>+E263*239.64</f>
        <v>26008730.120511312</v>
      </c>
      <c r="F264" s="151">
        <f>+F263*239.64</f>
        <v>4415846.942364684</v>
      </c>
      <c r="G264" s="151">
        <f>+G263*239.64</f>
        <v>21592883.178146634</v>
      </c>
      <c r="I264" s="36" t="s">
        <v>247</v>
      </c>
    </row>
    <row r="265" ht="12.75">
      <c r="E265" s="108"/>
    </row>
    <row r="266" ht="12.75">
      <c r="E266" s="108"/>
    </row>
    <row r="267" ht="12.75">
      <c r="E267" s="108"/>
    </row>
    <row r="268" spans="5:6" ht="12.75">
      <c r="E268" s="221">
        <v>8291.01</v>
      </c>
      <c r="F268" s="221">
        <v>647.2</v>
      </c>
    </row>
    <row r="269" spans="5:6" ht="12.75">
      <c r="E269" s="221">
        <v>8318.15</v>
      </c>
      <c r="F269" s="221">
        <v>620.06</v>
      </c>
    </row>
    <row r="270" spans="5:6" ht="12.75">
      <c r="E270" s="221">
        <v>8345.38</v>
      </c>
      <c r="F270" s="221">
        <v>592.83</v>
      </c>
    </row>
    <row r="271" spans="5:6" ht="12.75">
      <c r="E271" s="221">
        <v>8467.17</v>
      </c>
      <c r="F271" s="221">
        <v>362.81</v>
      </c>
    </row>
    <row r="272" spans="5:6" ht="12.75">
      <c r="E272" s="221">
        <v>8484.96</v>
      </c>
      <c r="F272" s="221">
        <v>345.02</v>
      </c>
    </row>
    <row r="273" spans="5:6" ht="12.75">
      <c r="E273" s="221">
        <v>8502.77</v>
      </c>
      <c r="F273" s="221">
        <v>327.21</v>
      </c>
    </row>
    <row r="274" spans="5:6" ht="12.75">
      <c r="E274" s="221">
        <v>8520.63</v>
      </c>
      <c r="F274" s="221">
        <v>309.35</v>
      </c>
    </row>
    <row r="275" spans="5:6" ht="12.75">
      <c r="E275" s="221">
        <v>8538.52</v>
      </c>
      <c r="F275" s="221">
        <v>291.46</v>
      </c>
    </row>
    <row r="276" spans="5:6" ht="12.75">
      <c r="E276" s="221">
        <v>8556.45</v>
      </c>
      <c r="F276" s="221">
        <v>273.53</v>
      </c>
    </row>
    <row r="277" spans="5:6" ht="12.75">
      <c r="E277" s="221">
        <v>8574.42</v>
      </c>
      <c r="F277" s="221">
        <v>255.56</v>
      </c>
    </row>
    <row r="278" spans="5:6" ht="12.75">
      <c r="E278" s="221">
        <v>8592.43</v>
      </c>
      <c r="F278" s="221">
        <v>237.55</v>
      </c>
    </row>
    <row r="279" spans="5:6" ht="12.75">
      <c r="E279" s="221">
        <v>8610.47</v>
      </c>
      <c r="F279" s="221">
        <v>219.51</v>
      </c>
    </row>
    <row r="280" spans="5:8" ht="23.25" customHeight="1">
      <c r="E280" s="222">
        <f>SUM(E268:E279)</f>
        <v>101802.35999999999</v>
      </c>
      <c r="F280" s="222">
        <f>SUM(F268:F279)</f>
        <v>4482.09</v>
      </c>
      <c r="G280" s="123">
        <f>SUM(E280:F280)</f>
        <v>106284.44999999998</v>
      </c>
      <c r="H280" s="36" t="s">
        <v>319</v>
      </c>
    </row>
    <row r="281" ht="24" customHeight="1"/>
    <row r="283" ht="12.75">
      <c r="E283" s="131">
        <f>SUM(E173:E183)+D185</f>
        <v>107258.51999999996</v>
      </c>
    </row>
  </sheetData>
  <mergeCells count="2">
    <mergeCell ref="P192:Q192"/>
    <mergeCell ref="P193:Q193"/>
  </mergeCells>
  <printOptions/>
  <pageMargins left="0.71" right="0.75" top="1" bottom="1" header="0.5" footer="0.5"/>
  <pageSetup horizontalDpi="600" verticalDpi="600" orientation="portrait" paperSize="9" scale="81" r:id="rId2"/>
  <headerFooter alignWithMargins="0">
    <oddHeader>&amp;C&amp;A</oddHeader>
    <oddFooter>&amp;CPage &amp;P</oddFooter>
  </headerFooter>
  <rowBreaks count="2" manualBreakCount="2">
    <brk id="55" max="27" man="1"/>
    <brk id="120" max="7" man="1"/>
  </rowBreaks>
  <colBreaks count="2" manualBreakCount="2">
    <brk id="13" max="192" man="1"/>
    <brk id="20" max="19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/>
  <dimension ref="A1:K435"/>
  <sheetViews>
    <sheetView view="pageBreakPreview" zoomScaleSheetLayoutView="100" workbookViewId="0" topLeftCell="A1">
      <selection activeCell="A1" sqref="A1:I76"/>
    </sheetView>
  </sheetViews>
  <sheetFormatPr defaultColWidth="9.140625" defaultRowHeight="12.75"/>
  <cols>
    <col min="1" max="1" width="15.421875" style="1" customWidth="1"/>
    <col min="2" max="2" width="7.421875" style="1" customWidth="1"/>
    <col min="3" max="3" width="17.8515625" style="1" customWidth="1"/>
    <col min="4" max="4" width="17.00390625" style="0" customWidth="1"/>
    <col min="5" max="5" width="14.7109375" style="0" customWidth="1"/>
    <col min="6" max="6" width="14.57421875" style="0" customWidth="1"/>
    <col min="7" max="7" width="14.140625" style="1" customWidth="1"/>
    <col min="8" max="8" width="9.7109375" style="2" customWidth="1"/>
    <col min="9" max="9" width="10.8515625" style="2" customWidth="1"/>
    <col min="10" max="10" width="15.57421875" style="13" customWidth="1"/>
    <col min="11" max="11" width="17.57421875" style="0" customWidth="1"/>
  </cols>
  <sheetData>
    <row r="1" spans="1:8" ht="18">
      <c r="A1" s="341" t="s">
        <v>181</v>
      </c>
      <c r="B1" s="341"/>
      <c r="C1" s="341"/>
      <c r="D1" s="341"/>
      <c r="E1" s="341"/>
      <c r="F1" s="341"/>
      <c r="G1" s="341"/>
      <c r="H1" s="341"/>
    </row>
    <row r="2" ht="15.75">
      <c r="B2" s="9"/>
    </row>
    <row r="3" spans="1:4" ht="15.75" customHeight="1">
      <c r="A3" s="1" t="s">
        <v>180</v>
      </c>
      <c r="C3" s="10"/>
      <c r="D3" t="s">
        <v>187</v>
      </c>
    </row>
    <row r="4" spans="1:7" ht="15.75" customHeight="1">
      <c r="A4" s="1" t="s">
        <v>186</v>
      </c>
      <c r="C4" t="s">
        <v>345</v>
      </c>
      <c r="E4" t="s">
        <v>360</v>
      </c>
      <c r="G4" s="33"/>
    </row>
    <row r="5" spans="1:4" ht="16.5" customHeight="1">
      <c r="A5" s="1" t="s">
        <v>184</v>
      </c>
      <c r="B5" s="340">
        <v>250000</v>
      </c>
      <c r="C5" s="340"/>
      <c r="D5" s="28"/>
    </row>
    <row r="6" spans="2:4" ht="16.5" customHeight="1">
      <c r="B6" s="10"/>
      <c r="C6" s="10"/>
      <c r="D6" s="28"/>
    </row>
    <row r="7" spans="1:10" ht="12.75">
      <c r="A7" s="4" t="s">
        <v>2</v>
      </c>
      <c r="B7" s="6" t="s">
        <v>8</v>
      </c>
      <c r="C7" s="19" t="s">
        <v>4</v>
      </c>
      <c r="D7" s="5" t="s">
        <v>3</v>
      </c>
      <c r="E7" s="5" t="s">
        <v>1</v>
      </c>
      <c r="F7" s="6" t="s">
        <v>7</v>
      </c>
      <c r="G7" s="20" t="s">
        <v>6</v>
      </c>
      <c r="H7" s="6" t="s">
        <v>9</v>
      </c>
      <c r="I7" s="6" t="s">
        <v>183</v>
      </c>
      <c r="J7"/>
    </row>
    <row r="8" spans="1:10" ht="12.75">
      <c r="A8" s="3"/>
      <c r="B8" s="7"/>
      <c r="C8" s="21" t="s">
        <v>0</v>
      </c>
      <c r="D8" s="3"/>
      <c r="E8" s="3"/>
      <c r="F8" s="7" t="s">
        <v>185</v>
      </c>
      <c r="G8" s="22" t="s">
        <v>5</v>
      </c>
      <c r="H8" s="7"/>
      <c r="I8" s="31">
        <v>0.035</v>
      </c>
      <c r="J8"/>
    </row>
    <row r="9" spans="1:10" ht="12.75">
      <c r="A9" s="11">
        <f>+B5</f>
        <v>250000</v>
      </c>
      <c r="B9" s="8">
        <v>31</v>
      </c>
      <c r="C9" s="18">
        <f aca="true" t="shared" si="0" ref="C9:C40">I9/360*B9/100</f>
        <v>0.0023250000000000002</v>
      </c>
      <c r="D9" s="11">
        <f aca="true" t="shared" si="1" ref="D9:D40">A9*C9</f>
        <v>581.2500000000001</v>
      </c>
      <c r="E9" s="11">
        <f>+A9/60</f>
        <v>4166.666666666667</v>
      </c>
      <c r="F9" s="11">
        <f aca="true" t="shared" si="2" ref="F9:F40">+D9+E9</f>
        <v>4747.916666666667</v>
      </c>
      <c r="G9" s="16"/>
      <c r="H9" s="23">
        <v>39995</v>
      </c>
      <c r="I9" s="32">
        <f aca="true" t="shared" si="3" ref="I9:I14">1.6+1.1</f>
        <v>2.7</v>
      </c>
      <c r="J9"/>
    </row>
    <row r="10" spans="1:10" ht="12.75">
      <c r="A10" s="11">
        <f aca="true" t="shared" si="4" ref="A10:A41">+A9-E9</f>
        <v>245833.33333333334</v>
      </c>
      <c r="B10" s="12">
        <f aca="true" t="shared" si="5" ref="B10:B41">+H11-H10</f>
        <v>31</v>
      </c>
      <c r="C10" s="18">
        <f t="shared" si="0"/>
        <v>0.0023250000000000002</v>
      </c>
      <c r="D10" s="11">
        <f t="shared" si="1"/>
        <v>571.5625000000001</v>
      </c>
      <c r="E10" s="11">
        <f aca="true" t="shared" si="6" ref="E10:E41">+E9</f>
        <v>4166.666666666667</v>
      </c>
      <c r="F10" s="11">
        <f t="shared" si="2"/>
        <v>4738.229166666667</v>
      </c>
      <c r="G10" s="16"/>
      <c r="H10" s="23">
        <v>40026</v>
      </c>
      <c r="I10" s="32">
        <f t="shared" si="3"/>
        <v>2.7</v>
      </c>
      <c r="J10"/>
    </row>
    <row r="11" spans="1:10" ht="12.75">
      <c r="A11" s="11">
        <f t="shared" si="4"/>
        <v>241666.6666666667</v>
      </c>
      <c r="B11" s="12">
        <f t="shared" si="5"/>
        <v>30</v>
      </c>
      <c r="C11" s="18">
        <f t="shared" si="0"/>
        <v>0.0022500000000000003</v>
      </c>
      <c r="D11" s="11">
        <f t="shared" si="1"/>
        <v>543.7500000000001</v>
      </c>
      <c r="E11" s="11">
        <f t="shared" si="6"/>
        <v>4166.666666666667</v>
      </c>
      <c r="F11" s="11">
        <f t="shared" si="2"/>
        <v>4710.416666666667</v>
      </c>
      <c r="G11" s="16"/>
      <c r="H11" s="23">
        <v>40057</v>
      </c>
      <c r="I11" s="32">
        <f t="shared" si="3"/>
        <v>2.7</v>
      </c>
      <c r="J11"/>
    </row>
    <row r="12" spans="1:11" ht="12.75">
      <c r="A12" s="11">
        <f t="shared" si="4"/>
        <v>237500.00000000003</v>
      </c>
      <c r="B12" s="12">
        <f t="shared" si="5"/>
        <v>31</v>
      </c>
      <c r="C12" s="18">
        <f t="shared" si="0"/>
        <v>0.0023250000000000002</v>
      </c>
      <c r="D12" s="11">
        <f t="shared" si="1"/>
        <v>552.1875000000001</v>
      </c>
      <c r="E12" s="11">
        <f t="shared" si="6"/>
        <v>4166.666666666667</v>
      </c>
      <c r="F12" s="11">
        <f t="shared" si="2"/>
        <v>4718.854166666667</v>
      </c>
      <c r="G12" s="16"/>
      <c r="H12" s="23">
        <v>40087</v>
      </c>
      <c r="I12" s="32">
        <f t="shared" si="3"/>
        <v>2.7</v>
      </c>
      <c r="J12" s="1"/>
      <c r="K12" s="1"/>
    </row>
    <row r="13" spans="1:10" ht="12.75">
      <c r="A13" s="11">
        <f t="shared" si="4"/>
        <v>233333.33333333337</v>
      </c>
      <c r="B13" s="12">
        <f t="shared" si="5"/>
        <v>30</v>
      </c>
      <c r="C13" s="18">
        <f t="shared" si="0"/>
        <v>0.0022500000000000003</v>
      </c>
      <c r="D13" s="11">
        <f t="shared" si="1"/>
        <v>525.0000000000001</v>
      </c>
      <c r="E13" s="11">
        <f t="shared" si="6"/>
        <v>4166.666666666667</v>
      </c>
      <c r="F13" s="11">
        <f t="shared" si="2"/>
        <v>4691.666666666667</v>
      </c>
      <c r="G13" s="17"/>
      <c r="H13" s="23">
        <v>40118</v>
      </c>
      <c r="I13" s="32">
        <f t="shared" si="3"/>
        <v>2.7</v>
      </c>
      <c r="J13"/>
    </row>
    <row r="14" spans="1:10" ht="12.75">
      <c r="A14" s="11">
        <f t="shared" si="4"/>
        <v>229166.66666666672</v>
      </c>
      <c r="B14" s="12">
        <f t="shared" si="5"/>
        <v>31</v>
      </c>
      <c r="C14" s="18">
        <f t="shared" si="0"/>
        <v>0.0023250000000000002</v>
      </c>
      <c r="D14" s="11">
        <f t="shared" si="1"/>
        <v>532.8125000000001</v>
      </c>
      <c r="E14" s="11">
        <f t="shared" si="6"/>
        <v>4166.666666666667</v>
      </c>
      <c r="F14" s="11">
        <f t="shared" si="2"/>
        <v>4699.479166666667</v>
      </c>
      <c r="G14" s="16">
        <f>SUM(F9:F14)</f>
        <v>28306.562500000004</v>
      </c>
      <c r="H14" s="23">
        <v>40148</v>
      </c>
      <c r="I14" s="32">
        <f t="shared" si="3"/>
        <v>2.7</v>
      </c>
      <c r="J14"/>
    </row>
    <row r="15" spans="1:10" ht="12.75">
      <c r="A15" s="11">
        <f t="shared" si="4"/>
        <v>225000.00000000006</v>
      </c>
      <c r="B15" s="12">
        <f t="shared" si="5"/>
        <v>31</v>
      </c>
      <c r="C15" s="18">
        <f t="shared" si="0"/>
        <v>0.003832805555555555</v>
      </c>
      <c r="D15" s="11">
        <f t="shared" si="1"/>
        <v>862.3812500000001</v>
      </c>
      <c r="E15" s="11">
        <f t="shared" si="6"/>
        <v>4166.666666666667</v>
      </c>
      <c r="F15" s="11">
        <f t="shared" si="2"/>
        <v>5029.047916666667</v>
      </c>
      <c r="G15" s="17"/>
      <c r="H15" s="23">
        <v>40179</v>
      </c>
      <c r="I15" s="32">
        <v>4.451</v>
      </c>
      <c r="J15"/>
    </row>
    <row r="16" spans="1:10" ht="12.75">
      <c r="A16" s="11">
        <f t="shared" si="4"/>
        <v>220833.3333333334</v>
      </c>
      <c r="B16" s="12">
        <f t="shared" si="5"/>
        <v>28</v>
      </c>
      <c r="C16" s="18">
        <f t="shared" si="0"/>
        <v>0.003461888888888889</v>
      </c>
      <c r="D16" s="11">
        <f t="shared" si="1"/>
        <v>764.5004629629632</v>
      </c>
      <c r="E16" s="11">
        <f t="shared" si="6"/>
        <v>4166.666666666667</v>
      </c>
      <c r="F16" s="11">
        <f t="shared" si="2"/>
        <v>4931.16712962963</v>
      </c>
      <c r="G16" s="17"/>
      <c r="H16" s="23">
        <v>40210</v>
      </c>
      <c r="I16" s="32">
        <v>4.451</v>
      </c>
      <c r="J16"/>
    </row>
    <row r="17" spans="1:10" ht="12.75">
      <c r="A17" s="11">
        <f t="shared" si="4"/>
        <v>216666.66666666674</v>
      </c>
      <c r="B17" s="12">
        <f t="shared" si="5"/>
        <v>31</v>
      </c>
      <c r="C17" s="18">
        <f t="shared" si="0"/>
        <v>0.003832805555555555</v>
      </c>
      <c r="D17" s="11">
        <f t="shared" si="1"/>
        <v>830.4412037037039</v>
      </c>
      <c r="E17" s="11">
        <f t="shared" si="6"/>
        <v>4166.666666666667</v>
      </c>
      <c r="F17" s="11">
        <f t="shared" si="2"/>
        <v>4997.107870370371</v>
      </c>
      <c r="G17" s="17"/>
      <c r="H17" s="23">
        <v>40238</v>
      </c>
      <c r="I17" s="32">
        <v>4.451</v>
      </c>
      <c r="J17"/>
    </row>
    <row r="18" spans="1:10" ht="12.75">
      <c r="A18" s="11">
        <f t="shared" si="4"/>
        <v>212500.0000000001</v>
      </c>
      <c r="B18" s="12">
        <f t="shared" si="5"/>
        <v>30</v>
      </c>
      <c r="C18" s="18">
        <f t="shared" si="0"/>
        <v>0.003709166666666666</v>
      </c>
      <c r="D18" s="11">
        <f t="shared" si="1"/>
        <v>788.1979166666669</v>
      </c>
      <c r="E18" s="11">
        <f t="shared" si="6"/>
        <v>4166.666666666667</v>
      </c>
      <c r="F18" s="11">
        <f t="shared" si="2"/>
        <v>4954.864583333334</v>
      </c>
      <c r="G18" s="17"/>
      <c r="H18" s="23">
        <v>40269</v>
      </c>
      <c r="I18" s="32">
        <v>4.451</v>
      </c>
      <c r="J18"/>
    </row>
    <row r="19" spans="1:10" ht="12.75">
      <c r="A19" s="11">
        <f t="shared" si="4"/>
        <v>208333.33333333343</v>
      </c>
      <c r="B19" s="12">
        <f t="shared" si="5"/>
        <v>31</v>
      </c>
      <c r="C19" s="18">
        <f t="shared" si="0"/>
        <v>0.003832805555555555</v>
      </c>
      <c r="D19" s="11">
        <f t="shared" si="1"/>
        <v>798.5011574074076</v>
      </c>
      <c r="E19" s="11">
        <f t="shared" si="6"/>
        <v>4166.666666666667</v>
      </c>
      <c r="F19" s="11">
        <f t="shared" si="2"/>
        <v>4965.167824074075</v>
      </c>
      <c r="G19" s="17"/>
      <c r="H19" s="23">
        <v>40299</v>
      </c>
      <c r="I19" s="32">
        <v>4.451</v>
      </c>
      <c r="J19"/>
    </row>
    <row r="20" spans="1:10" ht="12.75">
      <c r="A20" s="11">
        <f t="shared" si="4"/>
        <v>204166.66666666677</v>
      </c>
      <c r="B20" s="12">
        <f t="shared" si="5"/>
        <v>30</v>
      </c>
      <c r="C20" s="18">
        <f t="shared" si="0"/>
        <v>0.003709166666666666</v>
      </c>
      <c r="D20" s="11">
        <f t="shared" si="1"/>
        <v>757.2881944444447</v>
      </c>
      <c r="E20" s="11">
        <f t="shared" si="6"/>
        <v>4166.666666666667</v>
      </c>
      <c r="F20" s="11">
        <f t="shared" si="2"/>
        <v>4923.954861111111</v>
      </c>
      <c r="G20" s="17"/>
      <c r="H20" s="23">
        <v>40330</v>
      </c>
      <c r="I20" s="32">
        <v>4.451</v>
      </c>
      <c r="J20"/>
    </row>
    <row r="21" spans="1:10" ht="12.75">
      <c r="A21" s="11">
        <f t="shared" si="4"/>
        <v>200000.00000000012</v>
      </c>
      <c r="B21" s="12">
        <f t="shared" si="5"/>
        <v>31</v>
      </c>
      <c r="C21" s="18">
        <f t="shared" si="0"/>
        <v>0.003832805555555555</v>
      </c>
      <c r="D21" s="11">
        <f t="shared" si="1"/>
        <v>766.5611111111115</v>
      </c>
      <c r="E21" s="11">
        <f t="shared" si="6"/>
        <v>4166.666666666667</v>
      </c>
      <c r="F21" s="11">
        <f t="shared" si="2"/>
        <v>4933.227777777778</v>
      </c>
      <c r="G21" s="16"/>
      <c r="H21" s="23">
        <v>40360</v>
      </c>
      <c r="I21" s="32">
        <v>4.451</v>
      </c>
      <c r="J21"/>
    </row>
    <row r="22" spans="1:9" ht="12.75">
      <c r="A22" s="11">
        <f t="shared" si="4"/>
        <v>195833.33333333346</v>
      </c>
      <c r="B22" s="12">
        <f t="shared" si="5"/>
        <v>31</v>
      </c>
      <c r="C22" s="18">
        <f t="shared" si="0"/>
        <v>0.003832805555555555</v>
      </c>
      <c r="D22" s="11">
        <f t="shared" si="1"/>
        <v>750.5910879629633</v>
      </c>
      <c r="E22" s="11">
        <f t="shared" si="6"/>
        <v>4166.666666666667</v>
      </c>
      <c r="F22" s="11">
        <f t="shared" si="2"/>
        <v>4917.257754629631</v>
      </c>
      <c r="G22" s="16"/>
      <c r="H22" s="23">
        <v>40391</v>
      </c>
      <c r="I22" s="32">
        <v>4.451</v>
      </c>
    </row>
    <row r="23" spans="1:9" ht="12.75">
      <c r="A23" s="11">
        <f t="shared" si="4"/>
        <v>191666.6666666668</v>
      </c>
      <c r="B23" s="12">
        <f t="shared" si="5"/>
        <v>30</v>
      </c>
      <c r="C23" s="18">
        <f t="shared" si="0"/>
        <v>0.003709166666666666</v>
      </c>
      <c r="D23" s="11">
        <f t="shared" si="1"/>
        <v>710.9236111111115</v>
      </c>
      <c r="E23" s="11">
        <f t="shared" si="6"/>
        <v>4166.666666666667</v>
      </c>
      <c r="F23" s="11">
        <f t="shared" si="2"/>
        <v>4877.590277777778</v>
      </c>
      <c r="G23" s="16"/>
      <c r="H23" s="23">
        <v>40422</v>
      </c>
      <c r="I23" s="32">
        <v>4.451</v>
      </c>
    </row>
    <row r="24" spans="1:10" ht="12.75">
      <c r="A24" s="11">
        <f t="shared" si="4"/>
        <v>187500.00000000015</v>
      </c>
      <c r="B24" s="12">
        <f t="shared" si="5"/>
        <v>31</v>
      </c>
      <c r="C24" s="18">
        <f t="shared" si="0"/>
        <v>0.003832805555555555</v>
      </c>
      <c r="D24" s="11">
        <f t="shared" si="1"/>
        <v>718.6510416666671</v>
      </c>
      <c r="E24" s="11">
        <f t="shared" si="6"/>
        <v>4166.666666666667</v>
      </c>
      <c r="F24" s="11">
        <f t="shared" si="2"/>
        <v>4885.317708333334</v>
      </c>
      <c r="G24" s="16"/>
      <c r="H24" s="23">
        <v>40452</v>
      </c>
      <c r="I24" s="32">
        <v>4.451</v>
      </c>
      <c r="J24"/>
    </row>
    <row r="25" spans="1:10" ht="12.75">
      <c r="A25" s="11">
        <f t="shared" si="4"/>
        <v>183333.3333333335</v>
      </c>
      <c r="B25" s="12">
        <f t="shared" si="5"/>
        <v>30</v>
      </c>
      <c r="C25" s="18">
        <f t="shared" si="0"/>
        <v>0.003709166666666666</v>
      </c>
      <c r="D25" s="11">
        <f t="shared" si="1"/>
        <v>680.0138888888894</v>
      </c>
      <c r="E25" s="11">
        <f t="shared" si="6"/>
        <v>4166.666666666667</v>
      </c>
      <c r="F25" s="11">
        <f t="shared" si="2"/>
        <v>4846.680555555557</v>
      </c>
      <c r="G25" s="17"/>
      <c r="H25" s="23">
        <v>40483</v>
      </c>
      <c r="I25" s="32">
        <v>4.451</v>
      </c>
      <c r="J25"/>
    </row>
    <row r="26" spans="1:10" ht="12.75">
      <c r="A26" s="11">
        <f t="shared" si="4"/>
        <v>179166.66666666683</v>
      </c>
      <c r="B26" s="12">
        <f t="shared" si="5"/>
        <v>31</v>
      </c>
      <c r="C26" s="18">
        <f t="shared" si="0"/>
        <v>0.004178111111111112</v>
      </c>
      <c r="D26" s="11">
        <f t="shared" si="1"/>
        <v>748.5782407407415</v>
      </c>
      <c r="E26" s="11">
        <f t="shared" si="6"/>
        <v>4166.666666666667</v>
      </c>
      <c r="F26" s="11">
        <f t="shared" si="2"/>
        <v>4915.244907407408</v>
      </c>
      <c r="G26" s="16">
        <f>SUM(F15:F26)</f>
        <v>59176.62916666667</v>
      </c>
      <c r="H26" s="23">
        <v>40513</v>
      </c>
      <c r="I26" s="32">
        <v>4.852</v>
      </c>
      <c r="J26"/>
    </row>
    <row r="27" spans="1:10" ht="12.75">
      <c r="A27" s="11">
        <f t="shared" si="4"/>
        <v>175000.00000000017</v>
      </c>
      <c r="B27" s="12">
        <f t="shared" si="5"/>
        <v>31</v>
      </c>
      <c r="C27" s="18">
        <f t="shared" si="0"/>
        <v>0.004178111111111112</v>
      </c>
      <c r="D27" s="11">
        <f t="shared" si="1"/>
        <v>731.1694444444453</v>
      </c>
      <c r="E27" s="11">
        <f t="shared" si="6"/>
        <v>4166.666666666667</v>
      </c>
      <c r="F27" s="11">
        <f t="shared" si="2"/>
        <v>4897.836111111113</v>
      </c>
      <c r="G27" s="17"/>
      <c r="H27" s="23">
        <v>40544</v>
      </c>
      <c r="I27" s="32">
        <v>4.852</v>
      </c>
      <c r="J27"/>
    </row>
    <row r="28" spans="1:10" ht="12.75">
      <c r="A28" s="11">
        <f t="shared" si="4"/>
        <v>170833.33333333352</v>
      </c>
      <c r="B28" s="12">
        <f t="shared" si="5"/>
        <v>28</v>
      </c>
      <c r="C28" s="18">
        <f t="shared" si="0"/>
        <v>0.0037737777777777782</v>
      </c>
      <c r="D28" s="11">
        <f t="shared" si="1"/>
        <v>644.6870370370378</v>
      </c>
      <c r="E28" s="11">
        <f t="shared" si="6"/>
        <v>4166.666666666667</v>
      </c>
      <c r="F28" s="11">
        <f t="shared" si="2"/>
        <v>4811.353703703705</v>
      </c>
      <c r="G28" s="17"/>
      <c r="H28" s="23">
        <v>40575</v>
      </c>
      <c r="I28" s="32">
        <v>4.852</v>
      </c>
      <c r="J28"/>
    </row>
    <row r="29" spans="1:10" ht="12.75">
      <c r="A29" s="11">
        <f t="shared" si="4"/>
        <v>166666.66666666686</v>
      </c>
      <c r="B29" s="12">
        <f t="shared" si="5"/>
        <v>31</v>
      </c>
      <c r="C29" s="18">
        <f t="shared" si="0"/>
        <v>0.004178111111111112</v>
      </c>
      <c r="D29" s="11">
        <f t="shared" si="1"/>
        <v>696.3518518518528</v>
      </c>
      <c r="E29" s="11">
        <f t="shared" si="6"/>
        <v>4166.666666666667</v>
      </c>
      <c r="F29" s="11">
        <f t="shared" si="2"/>
        <v>4863.01851851852</v>
      </c>
      <c r="G29" s="17"/>
      <c r="H29" s="23">
        <v>40603</v>
      </c>
      <c r="I29" s="32">
        <v>4.852</v>
      </c>
      <c r="J29"/>
    </row>
    <row r="30" spans="1:10" ht="12.75">
      <c r="A30" s="11">
        <f t="shared" si="4"/>
        <v>162500.0000000002</v>
      </c>
      <c r="B30" s="12">
        <f t="shared" si="5"/>
        <v>30</v>
      </c>
      <c r="C30" s="18">
        <f t="shared" si="0"/>
        <v>0.004346666666666667</v>
      </c>
      <c r="D30" s="11">
        <f t="shared" si="1"/>
        <v>706.3333333333343</v>
      </c>
      <c r="E30" s="11">
        <f t="shared" si="6"/>
        <v>4166.666666666667</v>
      </c>
      <c r="F30" s="11">
        <f t="shared" si="2"/>
        <v>4873.000000000001</v>
      </c>
      <c r="G30" s="17"/>
      <c r="H30" s="23">
        <v>40634</v>
      </c>
      <c r="I30" s="32">
        <v>5.216</v>
      </c>
      <c r="J30"/>
    </row>
    <row r="31" spans="1:10" ht="12.75">
      <c r="A31" s="11">
        <f t="shared" si="4"/>
        <v>158333.33333333355</v>
      </c>
      <c r="B31" s="12">
        <f t="shared" si="5"/>
        <v>31</v>
      </c>
      <c r="C31" s="18">
        <f t="shared" si="0"/>
        <v>0.004491555555555556</v>
      </c>
      <c r="D31" s="11">
        <f t="shared" si="1"/>
        <v>711.162962962964</v>
      </c>
      <c r="E31" s="11">
        <f t="shared" si="6"/>
        <v>4166.666666666667</v>
      </c>
      <c r="F31" s="11">
        <f t="shared" si="2"/>
        <v>4877.829629629631</v>
      </c>
      <c r="G31" s="17"/>
      <c r="H31" s="23">
        <v>40664</v>
      </c>
      <c r="I31" s="32">
        <v>5.216</v>
      </c>
      <c r="J31"/>
    </row>
    <row r="32" spans="1:10" ht="12.75">
      <c r="A32" s="11">
        <f t="shared" si="4"/>
        <v>154166.6666666669</v>
      </c>
      <c r="B32" s="12">
        <f t="shared" si="5"/>
        <v>30</v>
      </c>
      <c r="C32" s="18">
        <f t="shared" si="0"/>
        <v>0.004346666666666667</v>
      </c>
      <c r="D32" s="11">
        <f t="shared" si="1"/>
        <v>670.1111111111121</v>
      </c>
      <c r="E32" s="11">
        <f t="shared" si="6"/>
        <v>4166.666666666667</v>
      </c>
      <c r="F32" s="11">
        <f t="shared" si="2"/>
        <v>4836.777777777779</v>
      </c>
      <c r="G32" s="17"/>
      <c r="H32" s="23">
        <v>40695</v>
      </c>
      <c r="I32" s="32">
        <v>5.216</v>
      </c>
      <c r="J32"/>
    </row>
    <row r="33" spans="1:10" ht="12.75">
      <c r="A33" s="11">
        <f t="shared" si="4"/>
        <v>150000.00000000023</v>
      </c>
      <c r="B33" s="12">
        <f t="shared" si="5"/>
        <v>31</v>
      </c>
      <c r="C33" s="18">
        <f t="shared" si="0"/>
        <v>0.004491555555555556</v>
      </c>
      <c r="D33" s="11">
        <f t="shared" si="1"/>
        <v>673.7333333333345</v>
      </c>
      <c r="E33" s="11">
        <f t="shared" si="6"/>
        <v>4166.666666666667</v>
      </c>
      <c r="F33" s="11">
        <f t="shared" si="2"/>
        <v>4840.4000000000015</v>
      </c>
      <c r="G33" s="16"/>
      <c r="H33" s="23">
        <v>40725</v>
      </c>
      <c r="I33" s="32">
        <v>5.216</v>
      </c>
      <c r="J33"/>
    </row>
    <row r="34" spans="1:10" ht="12.75">
      <c r="A34" s="11">
        <f t="shared" si="4"/>
        <v>145833.33333333358</v>
      </c>
      <c r="B34" s="12">
        <f t="shared" si="5"/>
        <v>31</v>
      </c>
      <c r="C34" s="18">
        <f t="shared" si="0"/>
        <v>0.004491555555555556</v>
      </c>
      <c r="D34" s="11">
        <f t="shared" si="1"/>
        <v>655.0185185185196</v>
      </c>
      <c r="E34" s="11">
        <f t="shared" si="6"/>
        <v>4166.666666666667</v>
      </c>
      <c r="F34" s="11">
        <f t="shared" si="2"/>
        <v>4821.685185185186</v>
      </c>
      <c r="G34" s="16"/>
      <c r="H34" s="23">
        <v>40756</v>
      </c>
      <c r="I34" s="32">
        <v>5.216</v>
      </c>
      <c r="J34"/>
    </row>
    <row r="35" spans="1:10" ht="12.75">
      <c r="A35" s="11">
        <f t="shared" si="4"/>
        <v>141666.66666666692</v>
      </c>
      <c r="B35" s="12">
        <f t="shared" si="5"/>
        <v>30</v>
      </c>
      <c r="C35" s="18">
        <f t="shared" si="0"/>
        <v>0.004346666666666667</v>
      </c>
      <c r="D35" s="11">
        <f t="shared" si="1"/>
        <v>615.777777777779</v>
      </c>
      <c r="E35" s="11">
        <f t="shared" si="6"/>
        <v>4166.666666666667</v>
      </c>
      <c r="F35" s="11">
        <f t="shared" si="2"/>
        <v>4782.444444444446</v>
      </c>
      <c r="G35" s="16"/>
      <c r="H35" s="23">
        <v>40787</v>
      </c>
      <c r="I35" s="32">
        <v>5.216</v>
      </c>
      <c r="J35"/>
    </row>
    <row r="36" spans="1:10" ht="12.75">
      <c r="A36" s="11">
        <f t="shared" si="4"/>
        <v>137500.00000000026</v>
      </c>
      <c r="B36" s="12">
        <f t="shared" si="5"/>
        <v>31</v>
      </c>
      <c r="C36" s="18">
        <f t="shared" si="0"/>
        <v>0.004491555555555556</v>
      </c>
      <c r="D36" s="11">
        <f t="shared" si="1"/>
        <v>617.5888888888901</v>
      </c>
      <c r="E36" s="11">
        <f t="shared" si="6"/>
        <v>4166.666666666667</v>
      </c>
      <c r="F36" s="11">
        <f t="shared" si="2"/>
        <v>4784.255555555557</v>
      </c>
      <c r="G36" s="16"/>
      <c r="H36" s="23">
        <v>40817</v>
      </c>
      <c r="I36" s="32">
        <v>5.216</v>
      </c>
      <c r="J36"/>
    </row>
    <row r="37" spans="1:10" ht="12.75">
      <c r="A37" s="11">
        <f t="shared" si="4"/>
        <v>133333.3333333336</v>
      </c>
      <c r="B37" s="12">
        <f t="shared" si="5"/>
        <v>30</v>
      </c>
      <c r="C37" s="18">
        <f t="shared" si="0"/>
        <v>0.004346666666666667</v>
      </c>
      <c r="D37" s="11">
        <f t="shared" si="1"/>
        <v>579.5555555555568</v>
      </c>
      <c r="E37" s="11">
        <f t="shared" si="6"/>
        <v>4166.666666666667</v>
      </c>
      <c r="F37" s="11">
        <f t="shared" si="2"/>
        <v>4746.2222222222235</v>
      </c>
      <c r="G37" s="17"/>
      <c r="H37" s="23">
        <v>40848</v>
      </c>
      <c r="I37" s="32">
        <v>5.216</v>
      </c>
      <c r="J37"/>
    </row>
    <row r="38" spans="1:10" ht="12.75">
      <c r="A38" s="11">
        <f t="shared" si="4"/>
        <v>129166.66666666693</v>
      </c>
      <c r="B38" s="12">
        <f t="shared" si="5"/>
        <v>31</v>
      </c>
      <c r="C38" s="18">
        <f t="shared" si="0"/>
        <v>0.004491555555555556</v>
      </c>
      <c r="D38" s="11">
        <f t="shared" si="1"/>
        <v>580.1592592592605</v>
      </c>
      <c r="E38" s="11">
        <f t="shared" si="6"/>
        <v>4166.666666666667</v>
      </c>
      <c r="F38" s="11">
        <f t="shared" si="2"/>
        <v>4746.825925925928</v>
      </c>
      <c r="G38" s="16">
        <f>SUM(F27:F38)</f>
        <v>57881.64907407409</v>
      </c>
      <c r="H38" s="23">
        <v>40878</v>
      </c>
      <c r="I38" s="32">
        <v>5.216</v>
      </c>
      <c r="J38"/>
    </row>
    <row r="39" spans="1:10" ht="12.75">
      <c r="A39" s="11">
        <f t="shared" si="4"/>
        <v>125000.00000000026</v>
      </c>
      <c r="B39" s="12">
        <f t="shared" si="5"/>
        <v>31</v>
      </c>
      <c r="C39" s="18">
        <f t="shared" si="0"/>
        <v>0.004491555555555556</v>
      </c>
      <c r="D39" s="11">
        <f t="shared" si="1"/>
        <v>561.4444444444457</v>
      </c>
      <c r="E39" s="11">
        <f t="shared" si="6"/>
        <v>4166.666666666667</v>
      </c>
      <c r="F39" s="11">
        <f t="shared" si="2"/>
        <v>4728.111111111113</v>
      </c>
      <c r="G39" s="17"/>
      <c r="H39" s="23">
        <v>40909</v>
      </c>
      <c r="I39" s="32">
        <v>5.216</v>
      </c>
      <c r="J39"/>
    </row>
    <row r="40" spans="1:10" ht="12.75">
      <c r="A40" s="11">
        <f t="shared" si="4"/>
        <v>120833.33333333359</v>
      </c>
      <c r="B40" s="12">
        <f t="shared" si="5"/>
        <v>29</v>
      </c>
      <c r="C40" s="18">
        <f t="shared" si="0"/>
        <v>0.004201777777777778</v>
      </c>
      <c r="D40" s="11">
        <f t="shared" si="1"/>
        <v>507.71481481481595</v>
      </c>
      <c r="E40" s="11">
        <f t="shared" si="6"/>
        <v>4166.666666666667</v>
      </c>
      <c r="F40" s="11">
        <f t="shared" si="2"/>
        <v>4674.381481481483</v>
      </c>
      <c r="G40" s="17"/>
      <c r="H40" s="23">
        <v>40940</v>
      </c>
      <c r="I40" s="32">
        <v>5.216</v>
      </c>
      <c r="J40"/>
    </row>
    <row r="41" spans="1:10" ht="12.75">
      <c r="A41" s="11">
        <f t="shared" si="4"/>
        <v>116666.66666666692</v>
      </c>
      <c r="B41" s="12">
        <f t="shared" si="5"/>
        <v>31</v>
      </c>
      <c r="C41" s="18">
        <f aca="true" t="shared" si="7" ref="C41:C68">I41/360*B41/100</f>
        <v>0.004491555555555556</v>
      </c>
      <c r="D41" s="11">
        <f aca="true" t="shared" si="8" ref="D41:D68">A41*C41</f>
        <v>524.014814814816</v>
      </c>
      <c r="E41" s="11">
        <f t="shared" si="6"/>
        <v>4166.666666666667</v>
      </c>
      <c r="F41" s="11">
        <f aca="true" t="shared" si="9" ref="F41:F68">+D41+E41</f>
        <v>4690.6814814814825</v>
      </c>
      <c r="G41" s="17"/>
      <c r="H41" s="23">
        <v>40969</v>
      </c>
      <c r="I41" s="32">
        <v>5.216</v>
      </c>
      <c r="J41"/>
    </row>
    <row r="42" spans="1:10" ht="12.75">
      <c r="A42" s="11">
        <f aca="true" t="shared" si="10" ref="A42:A68">+A41-E41</f>
        <v>112500.00000000025</v>
      </c>
      <c r="B42" s="12">
        <f aca="true" t="shared" si="11" ref="B42:B67">+H43-H42</f>
        <v>30</v>
      </c>
      <c r="C42" s="18">
        <f t="shared" si="7"/>
        <v>0.004346666666666667</v>
      </c>
      <c r="D42" s="11">
        <f t="shared" si="8"/>
        <v>489.00000000000114</v>
      </c>
      <c r="E42" s="11">
        <f aca="true" t="shared" si="12" ref="E42:E68">+E41</f>
        <v>4166.666666666667</v>
      </c>
      <c r="F42" s="11">
        <f t="shared" si="9"/>
        <v>4655.666666666668</v>
      </c>
      <c r="G42" s="17"/>
      <c r="H42" s="23">
        <v>41000</v>
      </c>
      <c r="I42" s="32">
        <v>5.216</v>
      </c>
      <c r="J42"/>
    </row>
    <row r="43" spans="1:10" ht="12.75">
      <c r="A43" s="11">
        <f t="shared" si="10"/>
        <v>108333.33333333358</v>
      </c>
      <c r="B43" s="12">
        <f t="shared" si="11"/>
        <v>31</v>
      </c>
      <c r="C43" s="18">
        <f t="shared" si="7"/>
        <v>0.004491555555555556</v>
      </c>
      <c r="D43" s="11">
        <f t="shared" si="8"/>
        <v>486.58518518518633</v>
      </c>
      <c r="E43" s="11">
        <f t="shared" si="12"/>
        <v>4166.666666666667</v>
      </c>
      <c r="F43" s="11">
        <f t="shared" si="9"/>
        <v>4653.251851851854</v>
      </c>
      <c r="G43" s="17"/>
      <c r="H43" s="23">
        <v>41030</v>
      </c>
      <c r="I43" s="32">
        <v>5.216</v>
      </c>
      <c r="J43"/>
    </row>
    <row r="44" spans="1:10" ht="12.75">
      <c r="A44" s="11">
        <f t="shared" si="10"/>
        <v>104166.6666666669</v>
      </c>
      <c r="B44" s="12">
        <f t="shared" si="11"/>
        <v>30</v>
      </c>
      <c r="C44" s="18">
        <f t="shared" si="7"/>
        <v>0.004346666666666667</v>
      </c>
      <c r="D44" s="11">
        <f t="shared" si="8"/>
        <v>452.77777777777885</v>
      </c>
      <c r="E44" s="11">
        <f t="shared" si="12"/>
        <v>4166.666666666667</v>
      </c>
      <c r="F44" s="11">
        <f t="shared" si="9"/>
        <v>4619.444444444446</v>
      </c>
      <c r="G44" s="17"/>
      <c r="H44" s="23">
        <v>41061</v>
      </c>
      <c r="I44" s="32">
        <v>5.216</v>
      </c>
      <c r="J44"/>
    </row>
    <row r="45" spans="1:10" ht="12.75">
      <c r="A45" s="11">
        <f t="shared" si="10"/>
        <v>100000.00000000023</v>
      </c>
      <c r="B45" s="12">
        <f t="shared" si="11"/>
        <v>31</v>
      </c>
      <c r="C45" s="18">
        <f t="shared" si="7"/>
        <v>0.004491555555555556</v>
      </c>
      <c r="D45" s="11">
        <f t="shared" si="8"/>
        <v>449.15555555555665</v>
      </c>
      <c r="E45" s="11">
        <f t="shared" si="12"/>
        <v>4166.666666666667</v>
      </c>
      <c r="F45" s="11">
        <f t="shared" si="9"/>
        <v>4615.822222222224</v>
      </c>
      <c r="G45" s="16"/>
      <c r="H45" s="23">
        <v>41091</v>
      </c>
      <c r="I45" s="32">
        <v>5.216</v>
      </c>
      <c r="J45"/>
    </row>
    <row r="46" spans="1:10" ht="12.75">
      <c r="A46" s="11">
        <f t="shared" si="10"/>
        <v>95833.33333333356</v>
      </c>
      <c r="B46" s="12">
        <f t="shared" si="11"/>
        <v>31</v>
      </c>
      <c r="C46" s="18">
        <f t="shared" si="7"/>
        <v>0.004491555555555556</v>
      </c>
      <c r="D46" s="11">
        <f t="shared" si="8"/>
        <v>430.4407407407418</v>
      </c>
      <c r="E46" s="11">
        <f t="shared" si="12"/>
        <v>4166.666666666667</v>
      </c>
      <c r="F46" s="11">
        <f t="shared" si="9"/>
        <v>4597.107407407409</v>
      </c>
      <c r="G46" s="16"/>
      <c r="H46" s="23">
        <v>41122</v>
      </c>
      <c r="I46" s="32">
        <v>5.216</v>
      </c>
      <c r="J46"/>
    </row>
    <row r="47" spans="1:10" ht="12.75">
      <c r="A47" s="11">
        <f t="shared" si="10"/>
        <v>91666.66666666689</v>
      </c>
      <c r="B47" s="12">
        <f t="shared" si="11"/>
        <v>30</v>
      </c>
      <c r="C47" s="18">
        <f t="shared" si="7"/>
        <v>0.004346666666666667</v>
      </c>
      <c r="D47" s="11">
        <f t="shared" si="8"/>
        <v>398.4444444444455</v>
      </c>
      <c r="E47" s="11">
        <f t="shared" si="12"/>
        <v>4166.666666666667</v>
      </c>
      <c r="F47" s="11">
        <f t="shared" si="9"/>
        <v>4565.111111111112</v>
      </c>
      <c r="G47" s="16"/>
      <c r="H47" s="23">
        <v>41153</v>
      </c>
      <c r="I47" s="32">
        <v>5.216</v>
      </c>
      <c r="J47"/>
    </row>
    <row r="48" spans="1:10" ht="12.75">
      <c r="A48" s="11">
        <f t="shared" si="10"/>
        <v>87500.00000000022</v>
      </c>
      <c r="B48" s="12">
        <f t="shared" si="11"/>
        <v>31</v>
      </c>
      <c r="C48" s="18">
        <f t="shared" si="7"/>
        <v>0.004491555555555556</v>
      </c>
      <c r="D48" s="11">
        <f t="shared" si="8"/>
        <v>393.01111111111214</v>
      </c>
      <c r="E48" s="11">
        <f t="shared" si="12"/>
        <v>4166.666666666667</v>
      </c>
      <c r="F48" s="11">
        <f t="shared" si="9"/>
        <v>4559.677777777779</v>
      </c>
      <c r="G48" s="16"/>
      <c r="H48" s="23">
        <v>41183</v>
      </c>
      <c r="I48" s="32">
        <v>5.216</v>
      </c>
      <c r="J48"/>
    </row>
    <row r="49" spans="1:10" ht="12.75">
      <c r="A49" s="11">
        <f t="shared" si="10"/>
        <v>83333.33333333355</v>
      </c>
      <c r="B49" s="12">
        <f t="shared" si="11"/>
        <v>30</v>
      </c>
      <c r="C49" s="18">
        <f t="shared" si="7"/>
        <v>0.004346666666666667</v>
      </c>
      <c r="D49" s="11">
        <f t="shared" si="8"/>
        <v>362.2222222222232</v>
      </c>
      <c r="E49" s="11">
        <f t="shared" si="12"/>
        <v>4166.666666666667</v>
      </c>
      <c r="F49" s="11">
        <f t="shared" si="9"/>
        <v>4528.8888888888905</v>
      </c>
      <c r="G49" s="17"/>
      <c r="H49" s="23">
        <v>41214</v>
      </c>
      <c r="I49" s="32">
        <v>5.216</v>
      </c>
      <c r="J49"/>
    </row>
    <row r="50" spans="1:10" ht="12.75">
      <c r="A50" s="11">
        <f t="shared" si="10"/>
        <v>79166.66666666688</v>
      </c>
      <c r="B50" s="12">
        <f t="shared" si="11"/>
        <v>31</v>
      </c>
      <c r="C50" s="18">
        <f t="shared" si="7"/>
        <v>0.004491555555555556</v>
      </c>
      <c r="D50" s="11">
        <f t="shared" si="8"/>
        <v>355.58148148148246</v>
      </c>
      <c r="E50" s="11">
        <f t="shared" si="12"/>
        <v>4166.666666666667</v>
      </c>
      <c r="F50" s="11">
        <f t="shared" si="9"/>
        <v>4522.248148148149</v>
      </c>
      <c r="G50" s="16">
        <f>SUM(F39:F50)</f>
        <v>55410.3925925926</v>
      </c>
      <c r="H50" s="23">
        <v>41244</v>
      </c>
      <c r="I50" s="32">
        <v>5.216</v>
      </c>
      <c r="J50"/>
    </row>
    <row r="51" spans="1:10" ht="12.75">
      <c r="A51" s="11">
        <f t="shared" si="10"/>
        <v>75000.0000000002</v>
      </c>
      <c r="B51" s="12">
        <f t="shared" si="11"/>
        <v>31</v>
      </c>
      <c r="C51" s="18">
        <f t="shared" si="7"/>
        <v>0.004491555555555556</v>
      </c>
      <c r="D51" s="11">
        <f t="shared" si="8"/>
        <v>336.8666666666676</v>
      </c>
      <c r="E51" s="11">
        <f t="shared" si="12"/>
        <v>4166.666666666667</v>
      </c>
      <c r="F51" s="11">
        <f t="shared" si="9"/>
        <v>4503.533333333335</v>
      </c>
      <c r="G51" s="17"/>
      <c r="H51" s="23">
        <v>41275</v>
      </c>
      <c r="I51" s="32">
        <v>5.216</v>
      </c>
      <c r="J51"/>
    </row>
    <row r="52" spans="1:10" ht="12.75">
      <c r="A52" s="11">
        <f t="shared" si="10"/>
        <v>70833.33333333353</v>
      </c>
      <c r="B52" s="12">
        <f t="shared" si="11"/>
        <v>28</v>
      </c>
      <c r="C52" s="18">
        <f t="shared" si="7"/>
        <v>0.004056888888888889</v>
      </c>
      <c r="D52" s="11">
        <f t="shared" si="8"/>
        <v>287.3629629629638</v>
      </c>
      <c r="E52" s="11">
        <f t="shared" si="12"/>
        <v>4166.666666666667</v>
      </c>
      <c r="F52" s="11">
        <f t="shared" si="9"/>
        <v>4454.029629629631</v>
      </c>
      <c r="G52" s="17"/>
      <c r="H52" s="23">
        <v>41306</v>
      </c>
      <c r="I52" s="32">
        <v>5.216</v>
      </c>
      <c r="J52"/>
    </row>
    <row r="53" spans="1:10" ht="12.75">
      <c r="A53" s="11">
        <f t="shared" si="10"/>
        <v>66666.66666666686</v>
      </c>
      <c r="B53" s="12">
        <f t="shared" si="11"/>
        <v>31</v>
      </c>
      <c r="C53" s="18">
        <f t="shared" si="7"/>
        <v>0.004491555555555556</v>
      </c>
      <c r="D53" s="11">
        <f t="shared" si="8"/>
        <v>299.43703703703795</v>
      </c>
      <c r="E53" s="11">
        <f t="shared" si="12"/>
        <v>4166.666666666667</v>
      </c>
      <c r="F53" s="11">
        <f t="shared" si="9"/>
        <v>4466.103703703705</v>
      </c>
      <c r="G53" s="17"/>
      <c r="H53" s="23">
        <v>41334</v>
      </c>
      <c r="I53" s="32">
        <v>5.216</v>
      </c>
      <c r="J53"/>
    </row>
    <row r="54" spans="1:10" ht="12.75">
      <c r="A54" s="11">
        <f t="shared" si="10"/>
        <v>62500.0000000002</v>
      </c>
      <c r="B54" s="12">
        <f t="shared" si="11"/>
        <v>30</v>
      </c>
      <c r="C54" s="18">
        <f t="shared" si="7"/>
        <v>0.004346666666666667</v>
      </c>
      <c r="D54" s="11">
        <f t="shared" si="8"/>
        <v>271.66666666666754</v>
      </c>
      <c r="E54" s="11">
        <f t="shared" si="12"/>
        <v>4166.666666666667</v>
      </c>
      <c r="F54" s="11">
        <f t="shared" si="9"/>
        <v>4438.333333333335</v>
      </c>
      <c r="G54" s="17"/>
      <c r="H54" s="23">
        <v>41365</v>
      </c>
      <c r="I54" s="32">
        <v>5.216</v>
      </c>
      <c r="J54"/>
    </row>
    <row r="55" spans="1:10" ht="12.75">
      <c r="A55" s="11">
        <f t="shared" si="10"/>
        <v>58333.33333333353</v>
      </c>
      <c r="B55" s="12">
        <f t="shared" si="11"/>
        <v>31</v>
      </c>
      <c r="C55" s="18">
        <f t="shared" si="7"/>
        <v>0.004491555555555556</v>
      </c>
      <c r="D55" s="11">
        <f t="shared" si="8"/>
        <v>262.0074074074083</v>
      </c>
      <c r="E55" s="11">
        <f t="shared" si="12"/>
        <v>4166.666666666667</v>
      </c>
      <c r="F55" s="11">
        <f t="shared" si="9"/>
        <v>4428.674074074075</v>
      </c>
      <c r="G55" s="17"/>
      <c r="H55" s="23">
        <v>41395</v>
      </c>
      <c r="I55" s="32">
        <v>5.216</v>
      </c>
      <c r="J55"/>
    </row>
    <row r="56" spans="1:10" ht="12.75">
      <c r="A56" s="11">
        <f t="shared" si="10"/>
        <v>54166.66666666687</v>
      </c>
      <c r="B56" s="12">
        <f t="shared" si="11"/>
        <v>30</v>
      </c>
      <c r="C56" s="18">
        <f t="shared" si="7"/>
        <v>0.004346666666666667</v>
      </c>
      <c r="D56" s="11">
        <f t="shared" si="8"/>
        <v>235.44444444444534</v>
      </c>
      <c r="E56" s="11">
        <f t="shared" si="12"/>
        <v>4166.666666666667</v>
      </c>
      <c r="F56" s="11">
        <f t="shared" si="9"/>
        <v>4402.111111111112</v>
      </c>
      <c r="G56" s="17"/>
      <c r="H56" s="23">
        <v>41426</v>
      </c>
      <c r="I56" s="32">
        <v>5.216</v>
      </c>
      <c r="J56"/>
    </row>
    <row r="57" spans="1:10" ht="12.75">
      <c r="A57" s="11">
        <f t="shared" si="10"/>
        <v>50000.000000000204</v>
      </c>
      <c r="B57" s="12">
        <f t="shared" si="11"/>
        <v>31</v>
      </c>
      <c r="C57" s="18">
        <f t="shared" si="7"/>
        <v>0.004491555555555556</v>
      </c>
      <c r="D57" s="11">
        <f t="shared" si="8"/>
        <v>224.57777777777872</v>
      </c>
      <c r="E57" s="11">
        <f t="shared" si="12"/>
        <v>4166.666666666667</v>
      </c>
      <c r="F57" s="11">
        <f t="shared" si="9"/>
        <v>4391.244444444445</v>
      </c>
      <c r="G57" s="16"/>
      <c r="H57" s="23">
        <v>41456</v>
      </c>
      <c r="I57" s="32">
        <v>5.216</v>
      </c>
      <c r="J57"/>
    </row>
    <row r="58" spans="1:10" ht="12.75">
      <c r="A58" s="11">
        <f t="shared" si="10"/>
        <v>45833.33333333354</v>
      </c>
      <c r="B58" s="12">
        <f t="shared" si="11"/>
        <v>31</v>
      </c>
      <c r="C58" s="18">
        <f t="shared" si="7"/>
        <v>0.004491555555555556</v>
      </c>
      <c r="D58" s="11">
        <f t="shared" si="8"/>
        <v>205.8629629629639</v>
      </c>
      <c r="E58" s="11">
        <f t="shared" si="12"/>
        <v>4166.666666666667</v>
      </c>
      <c r="F58" s="11">
        <f t="shared" si="9"/>
        <v>4372.529629629631</v>
      </c>
      <c r="G58" s="16"/>
      <c r="H58" s="23">
        <v>41487</v>
      </c>
      <c r="I58" s="32">
        <v>5.216</v>
      </c>
      <c r="J58"/>
    </row>
    <row r="59" spans="1:10" ht="12.75">
      <c r="A59" s="11">
        <f t="shared" si="10"/>
        <v>41666.666666666875</v>
      </c>
      <c r="B59" s="12">
        <f t="shared" si="11"/>
        <v>30</v>
      </c>
      <c r="C59" s="18">
        <f t="shared" si="7"/>
        <v>0.004346666666666667</v>
      </c>
      <c r="D59" s="11">
        <f t="shared" si="8"/>
        <v>181.11111111111202</v>
      </c>
      <c r="E59" s="11">
        <f t="shared" si="12"/>
        <v>4166.666666666667</v>
      </c>
      <c r="F59" s="11">
        <f t="shared" si="9"/>
        <v>4347.777777777779</v>
      </c>
      <c r="G59" s="16"/>
      <c r="H59" s="23">
        <v>41518</v>
      </c>
      <c r="I59" s="32">
        <v>5.216</v>
      </c>
      <c r="J59"/>
    </row>
    <row r="60" spans="1:10" ht="12.75">
      <c r="A60" s="11">
        <f t="shared" si="10"/>
        <v>37500.00000000021</v>
      </c>
      <c r="B60" s="12">
        <f t="shared" si="11"/>
        <v>31</v>
      </c>
      <c r="C60" s="18">
        <f t="shared" si="7"/>
        <v>0.004491555555555556</v>
      </c>
      <c r="D60" s="11">
        <f t="shared" si="8"/>
        <v>168.4333333333343</v>
      </c>
      <c r="E60" s="11">
        <f t="shared" si="12"/>
        <v>4166.666666666667</v>
      </c>
      <c r="F60" s="11">
        <f t="shared" si="9"/>
        <v>4335.100000000001</v>
      </c>
      <c r="G60" s="16"/>
      <c r="H60" s="23">
        <v>41548</v>
      </c>
      <c r="I60" s="32">
        <v>5.216</v>
      </c>
      <c r="J60"/>
    </row>
    <row r="61" spans="1:10" ht="12.75">
      <c r="A61" s="11">
        <f t="shared" si="10"/>
        <v>33333.33333333355</v>
      </c>
      <c r="B61" s="12">
        <f t="shared" si="11"/>
        <v>30</v>
      </c>
      <c r="C61" s="18">
        <f t="shared" si="7"/>
        <v>0.004346666666666667</v>
      </c>
      <c r="D61" s="11">
        <f t="shared" si="8"/>
        <v>144.88888888888982</v>
      </c>
      <c r="E61" s="11">
        <f t="shared" si="12"/>
        <v>4166.666666666667</v>
      </c>
      <c r="F61" s="11">
        <f t="shared" si="9"/>
        <v>4311.555555555557</v>
      </c>
      <c r="G61" s="17"/>
      <c r="H61" s="23">
        <v>41579</v>
      </c>
      <c r="I61" s="32">
        <v>5.216</v>
      </c>
      <c r="J61"/>
    </row>
    <row r="62" spans="1:10" ht="12.75">
      <c r="A62" s="11">
        <f t="shared" si="10"/>
        <v>29166.66666666688</v>
      </c>
      <c r="B62" s="12">
        <f t="shared" si="11"/>
        <v>31</v>
      </c>
      <c r="C62" s="18">
        <f t="shared" si="7"/>
        <v>0.004491555555555556</v>
      </c>
      <c r="D62" s="11">
        <f t="shared" si="8"/>
        <v>131.00370370370467</v>
      </c>
      <c r="E62" s="11">
        <f t="shared" si="12"/>
        <v>4166.666666666667</v>
      </c>
      <c r="F62" s="11">
        <f t="shared" si="9"/>
        <v>4297.6703703703715</v>
      </c>
      <c r="G62" s="16">
        <f>SUM(F51:F62)</f>
        <v>52748.662962962975</v>
      </c>
      <c r="H62" s="23">
        <v>41609</v>
      </c>
      <c r="I62" s="32">
        <v>5.216</v>
      </c>
      <c r="J62"/>
    </row>
    <row r="63" spans="1:10" ht="12.75">
      <c r="A63" s="11">
        <f t="shared" si="10"/>
        <v>25000.00000000021</v>
      </c>
      <c r="B63" s="12">
        <f t="shared" si="11"/>
        <v>31</v>
      </c>
      <c r="C63" s="18">
        <f t="shared" si="7"/>
        <v>0.004491555555555556</v>
      </c>
      <c r="D63" s="11">
        <f t="shared" si="8"/>
        <v>112.28888888888984</v>
      </c>
      <c r="E63" s="11">
        <f t="shared" si="12"/>
        <v>4166.666666666667</v>
      </c>
      <c r="F63" s="11">
        <f t="shared" si="9"/>
        <v>4278.955555555557</v>
      </c>
      <c r="G63" s="17"/>
      <c r="H63" s="23">
        <v>41640</v>
      </c>
      <c r="I63" s="32">
        <v>5.216</v>
      </c>
      <c r="J63"/>
    </row>
    <row r="64" spans="1:10" ht="12.75">
      <c r="A64" s="11">
        <f t="shared" si="10"/>
        <v>20833.333333333543</v>
      </c>
      <c r="B64" s="12">
        <f t="shared" si="11"/>
        <v>28</v>
      </c>
      <c r="C64" s="18">
        <f t="shared" si="7"/>
        <v>0.004056888888888889</v>
      </c>
      <c r="D64" s="11">
        <f t="shared" si="8"/>
        <v>84.51851851851939</v>
      </c>
      <c r="E64" s="11">
        <f t="shared" si="12"/>
        <v>4166.666666666667</v>
      </c>
      <c r="F64" s="11">
        <f t="shared" si="9"/>
        <v>4251.185185185186</v>
      </c>
      <c r="G64" s="17"/>
      <c r="H64" s="23">
        <v>41671</v>
      </c>
      <c r="I64" s="32">
        <v>5.216</v>
      </c>
      <c r="J64"/>
    </row>
    <row r="65" spans="1:10" ht="12.75">
      <c r="A65" s="11">
        <f t="shared" si="10"/>
        <v>16666.666666666875</v>
      </c>
      <c r="B65" s="12">
        <f t="shared" si="11"/>
        <v>31</v>
      </c>
      <c r="C65" s="18">
        <f t="shared" si="7"/>
        <v>0.004491555555555556</v>
      </c>
      <c r="D65" s="11">
        <f t="shared" si="8"/>
        <v>74.8592592592602</v>
      </c>
      <c r="E65" s="11">
        <f t="shared" si="12"/>
        <v>4166.666666666667</v>
      </c>
      <c r="F65" s="11">
        <f t="shared" si="9"/>
        <v>4241.525925925927</v>
      </c>
      <c r="G65" s="17"/>
      <c r="H65" s="23">
        <v>41699</v>
      </c>
      <c r="I65" s="32">
        <v>5.216</v>
      </c>
      <c r="J65"/>
    </row>
    <row r="66" spans="1:10" ht="12.75">
      <c r="A66" s="11">
        <f t="shared" si="10"/>
        <v>12500.000000000207</v>
      </c>
      <c r="B66" s="12">
        <f t="shared" si="11"/>
        <v>30</v>
      </c>
      <c r="C66" s="18">
        <f t="shared" si="7"/>
        <v>0.004346666666666667</v>
      </c>
      <c r="D66" s="11">
        <f t="shared" si="8"/>
        <v>54.33333333333424</v>
      </c>
      <c r="E66" s="11">
        <f t="shared" si="12"/>
        <v>4166.666666666667</v>
      </c>
      <c r="F66" s="11">
        <f t="shared" si="9"/>
        <v>4221.000000000001</v>
      </c>
      <c r="G66" s="17"/>
      <c r="H66" s="23">
        <v>41730</v>
      </c>
      <c r="I66" s="32">
        <v>5.216</v>
      </c>
      <c r="J66"/>
    </row>
    <row r="67" spans="1:10" ht="12.75">
      <c r="A67" s="11">
        <f t="shared" si="10"/>
        <v>8333.33333333354</v>
      </c>
      <c r="B67" s="12">
        <f t="shared" si="11"/>
        <v>31</v>
      </c>
      <c r="C67" s="18">
        <f t="shared" si="7"/>
        <v>0.004491555555555556</v>
      </c>
      <c r="D67" s="11">
        <f t="shared" si="8"/>
        <v>37.42962962963056</v>
      </c>
      <c r="E67" s="11">
        <f t="shared" si="12"/>
        <v>4166.666666666667</v>
      </c>
      <c r="F67" s="11">
        <f t="shared" si="9"/>
        <v>4204.096296296298</v>
      </c>
      <c r="G67" s="17"/>
      <c r="H67" s="23">
        <v>41760</v>
      </c>
      <c r="I67" s="32">
        <v>5.216</v>
      </c>
      <c r="J67"/>
    </row>
    <row r="68" spans="1:10" ht="12.75">
      <c r="A68" s="11">
        <f t="shared" si="10"/>
        <v>4166.6666666668725</v>
      </c>
      <c r="B68" s="12">
        <v>30</v>
      </c>
      <c r="C68" s="18">
        <f t="shared" si="7"/>
        <v>0.004346666666666667</v>
      </c>
      <c r="D68" s="11">
        <f t="shared" si="8"/>
        <v>18.111111111112006</v>
      </c>
      <c r="E68" s="11">
        <f t="shared" si="12"/>
        <v>4166.666666666667</v>
      </c>
      <c r="F68" s="11">
        <f t="shared" si="9"/>
        <v>4184.777777777779</v>
      </c>
      <c r="G68" s="16">
        <f>SUM(F63:F68)</f>
        <v>25381.540740740747</v>
      </c>
      <c r="H68" s="23">
        <v>41791</v>
      </c>
      <c r="I68" s="32">
        <v>5.216</v>
      </c>
      <c r="J68"/>
    </row>
    <row r="69" spans="1:10" ht="24" customHeight="1">
      <c r="A69" s="24"/>
      <c r="B69" s="25"/>
      <c r="C69" s="27"/>
      <c r="D69" s="26">
        <f>SUM(D9:D68)</f>
        <v>28905.437037037085</v>
      </c>
      <c r="E69" s="26">
        <f>SUM(E9:E68)</f>
        <v>249999.9999999998</v>
      </c>
      <c r="F69" s="26">
        <f>SUM(F9:F68)</f>
        <v>278905.4370370371</v>
      </c>
      <c r="G69" s="26">
        <f>SUM(G9:G68)</f>
        <v>278905.4370370371</v>
      </c>
      <c r="H69" s="24"/>
      <c r="I69" s="24"/>
      <c r="J69"/>
    </row>
    <row r="70" spans="1:10" ht="12.75">
      <c r="A70"/>
      <c r="B70"/>
      <c r="C70"/>
      <c r="G70"/>
      <c r="H70"/>
      <c r="I70"/>
      <c r="J70" s="14"/>
    </row>
    <row r="71" spans="1:10" ht="12.75">
      <c r="A71" s="15" t="s">
        <v>10</v>
      </c>
      <c r="B71" s="15"/>
      <c r="C71" s="30">
        <v>300</v>
      </c>
      <c r="G71"/>
      <c r="H71"/>
      <c r="I71"/>
      <c r="J71" s="14"/>
    </row>
    <row r="72" spans="1:10" ht="12.75">
      <c r="A72" s="15" t="s">
        <v>182</v>
      </c>
      <c r="B72" s="15"/>
      <c r="C72" s="30">
        <v>0</v>
      </c>
      <c r="F72" s="15" t="s">
        <v>361</v>
      </c>
      <c r="G72" s="15" t="s">
        <v>362</v>
      </c>
      <c r="H72" s="15" t="s">
        <v>189</v>
      </c>
      <c r="I72"/>
      <c r="J72" s="14"/>
    </row>
    <row r="73" spans="1:10" ht="12.75">
      <c r="A73" s="15" t="s">
        <v>11</v>
      </c>
      <c r="B73" s="15"/>
      <c r="C73" s="30">
        <f>+D69</f>
        <v>28905.437037037085</v>
      </c>
      <c r="F73" s="174">
        <f>SUM(E24:E35)</f>
        <v>49999.99999999999</v>
      </c>
      <c r="G73" s="174">
        <v>7881.65</v>
      </c>
      <c r="H73" s="174">
        <f>SUM(F73:G73)</f>
        <v>57881.649999999994</v>
      </c>
      <c r="I73"/>
      <c r="J73" s="14"/>
    </row>
    <row r="74" spans="1:10" ht="12.75">
      <c r="A74" s="15" t="s">
        <v>12</v>
      </c>
      <c r="B74" s="15"/>
      <c r="C74" s="30">
        <f>SUM(C71:C73)</f>
        <v>29205.437037037085</v>
      </c>
      <c r="E74" s="173" t="s">
        <v>279</v>
      </c>
      <c r="F74" s="173" t="s">
        <v>280</v>
      </c>
      <c r="G74" s="173" t="s">
        <v>280</v>
      </c>
      <c r="H74"/>
      <c r="I74"/>
      <c r="J74" s="14"/>
    </row>
    <row r="75" spans="1:10" ht="12.75">
      <c r="A75"/>
      <c r="B75"/>
      <c r="C75"/>
      <c r="E75" s="173">
        <v>41221101</v>
      </c>
      <c r="F75" s="173">
        <v>550101</v>
      </c>
      <c r="G75" s="15">
        <v>403101</v>
      </c>
      <c r="H75"/>
      <c r="I75"/>
      <c r="J75" s="14"/>
    </row>
    <row r="76" spans="1:10" ht="12.75">
      <c r="A76"/>
      <c r="B76"/>
      <c r="C76"/>
      <c r="G76"/>
      <c r="H76"/>
      <c r="I76"/>
      <c r="J76" s="14"/>
    </row>
    <row r="77" spans="1:10" ht="12.75">
      <c r="A77"/>
      <c r="B77"/>
      <c r="C77"/>
      <c r="G77"/>
      <c r="H77"/>
      <c r="I77"/>
      <c r="J77" s="14"/>
    </row>
    <row r="78" spans="1:10" ht="12.75">
      <c r="A78"/>
      <c r="B78"/>
      <c r="C78"/>
      <c r="G78"/>
      <c r="H78"/>
      <c r="I78"/>
      <c r="J78" s="14"/>
    </row>
    <row r="79" spans="1:10" ht="12.75">
      <c r="A79"/>
      <c r="B79"/>
      <c r="C79"/>
      <c r="G79"/>
      <c r="H79"/>
      <c r="I79"/>
      <c r="J79" s="14"/>
    </row>
    <row r="80" spans="1:10" ht="12.75">
      <c r="A80"/>
      <c r="B80"/>
      <c r="C80"/>
      <c r="G80"/>
      <c r="H80"/>
      <c r="I80"/>
      <c r="J80" s="14"/>
    </row>
    <row r="81" spans="1:10" ht="12.75">
      <c r="A81"/>
      <c r="B81"/>
      <c r="C81"/>
      <c r="G81"/>
      <c r="H81"/>
      <c r="I81"/>
      <c r="J81" s="14"/>
    </row>
    <row r="82" spans="1:10" ht="12.75">
      <c r="A82"/>
      <c r="B82"/>
      <c r="C82"/>
      <c r="G82"/>
      <c r="H82"/>
      <c r="I82"/>
      <c r="J82" s="14"/>
    </row>
    <row r="83" spans="1:10" ht="12.75">
      <c r="A83"/>
      <c r="B83"/>
      <c r="C83"/>
      <c r="G83"/>
      <c r="H83"/>
      <c r="I83"/>
      <c r="J83" s="14"/>
    </row>
    <row r="84" spans="1:10" ht="12.75">
      <c r="A84"/>
      <c r="B84"/>
      <c r="C84"/>
      <c r="G84"/>
      <c r="H84"/>
      <c r="I84"/>
      <c r="J84" s="14"/>
    </row>
    <row r="85" spans="1:10" ht="12.75">
      <c r="A85"/>
      <c r="B85"/>
      <c r="C85"/>
      <c r="G85"/>
      <c r="H85"/>
      <c r="I85"/>
      <c r="J85" s="14"/>
    </row>
    <row r="86" spans="1:10" ht="12.75">
      <c r="A86"/>
      <c r="B86"/>
      <c r="C86"/>
      <c r="G86"/>
      <c r="H86"/>
      <c r="I86"/>
      <c r="J86" s="14"/>
    </row>
    <row r="87" spans="1:10" ht="12.75">
      <c r="A87"/>
      <c r="B87"/>
      <c r="C87"/>
      <c r="G87"/>
      <c r="H87"/>
      <c r="I87"/>
      <c r="J87" s="14"/>
    </row>
    <row r="88" spans="1:10" ht="12.75">
      <c r="A88"/>
      <c r="B88"/>
      <c r="C88"/>
      <c r="G88"/>
      <c r="H88"/>
      <c r="I88"/>
      <c r="J88" s="14"/>
    </row>
    <row r="89" spans="1:10" ht="12.75">
      <c r="A89"/>
      <c r="B89"/>
      <c r="C89"/>
      <c r="G89"/>
      <c r="H89"/>
      <c r="I89"/>
      <c r="J89" s="14"/>
    </row>
    <row r="90" spans="1:10" ht="12.75">
      <c r="A90"/>
      <c r="B90"/>
      <c r="C90"/>
      <c r="G90"/>
      <c r="H90"/>
      <c r="I90"/>
      <c r="J90" s="14"/>
    </row>
    <row r="91" spans="1:10" ht="12.75">
      <c r="A91"/>
      <c r="B91"/>
      <c r="C91"/>
      <c r="G91"/>
      <c r="H91"/>
      <c r="I91"/>
      <c r="J91" s="14"/>
    </row>
    <row r="92" spans="1:10" ht="12.75">
      <c r="A92"/>
      <c r="B92"/>
      <c r="C92"/>
      <c r="G92"/>
      <c r="H92"/>
      <c r="I92"/>
      <c r="J92" s="14"/>
    </row>
    <row r="93" spans="1:10" ht="12.75">
      <c r="A93"/>
      <c r="B93"/>
      <c r="C93"/>
      <c r="G93"/>
      <c r="H93"/>
      <c r="I93"/>
      <c r="J93" s="14"/>
    </row>
    <row r="94" spans="1:10" ht="12.75">
      <c r="A94"/>
      <c r="B94"/>
      <c r="C94"/>
      <c r="G94"/>
      <c r="H94"/>
      <c r="I94"/>
      <c r="J94" s="14"/>
    </row>
    <row r="95" spans="1:10" ht="12.75">
      <c r="A95"/>
      <c r="B95"/>
      <c r="C95"/>
      <c r="G95"/>
      <c r="H95"/>
      <c r="I95"/>
      <c r="J95" s="14"/>
    </row>
    <row r="96" spans="1:10" ht="12.75">
      <c r="A96"/>
      <c r="B96"/>
      <c r="C96"/>
      <c r="G96"/>
      <c r="H96"/>
      <c r="I96"/>
      <c r="J96" s="14"/>
    </row>
    <row r="97" spans="1:10" ht="12.75">
      <c r="A97"/>
      <c r="B97"/>
      <c r="C97"/>
      <c r="G97"/>
      <c r="H97"/>
      <c r="I97"/>
      <c r="J97" s="14"/>
    </row>
    <row r="98" spans="1:10" ht="12.75">
      <c r="A98"/>
      <c r="B98"/>
      <c r="C98"/>
      <c r="G98"/>
      <c r="H98"/>
      <c r="I98"/>
      <c r="J98" s="14"/>
    </row>
    <row r="99" spans="1:10" ht="12.75">
      <c r="A99"/>
      <c r="B99"/>
      <c r="C99"/>
      <c r="G99"/>
      <c r="H99"/>
      <c r="I99"/>
      <c r="J99" s="14"/>
    </row>
    <row r="100" spans="1:10" ht="12.75">
      <c r="A100"/>
      <c r="B100"/>
      <c r="C100"/>
      <c r="G100"/>
      <c r="H100"/>
      <c r="I100"/>
      <c r="J100" s="14"/>
    </row>
    <row r="101" spans="1:10" ht="12.75">
      <c r="A101"/>
      <c r="B101"/>
      <c r="C101"/>
      <c r="G101"/>
      <c r="H101"/>
      <c r="I101"/>
      <c r="J101" s="14"/>
    </row>
    <row r="102" spans="1:10" ht="12.75">
      <c r="A102"/>
      <c r="B102"/>
      <c r="C102"/>
      <c r="G102"/>
      <c r="H102"/>
      <c r="I102"/>
      <c r="J102" s="14"/>
    </row>
    <row r="103" spans="1:10" ht="12.75">
      <c r="A103"/>
      <c r="B103"/>
      <c r="C103"/>
      <c r="G103"/>
      <c r="H103"/>
      <c r="I103"/>
      <c r="J103" s="14"/>
    </row>
    <row r="104" spans="1:10" ht="12.75">
      <c r="A104"/>
      <c r="B104"/>
      <c r="C104"/>
      <c r="G104"/>
      <c r="H104"/>
      <c r="I104"/>
      <c r="J104" s="14"/>
    </row>
    <row r="105" spans="1:10" ht="12.75">
      <c r="A105"/>
      <c r="B105"/>
      <c r="C105"/>
      <c r="G105"/>
      <c r="H105"/>
      <c r="I105"/>
      <c r="J105" s="14"/>
    </row>
    <row r="106" spans="1:10" ht="12.75">
      <c r="A106"/>
      <c r="B106"/>
      <c r="C106"/>
      <c r="G106"/>
      <c r="H106"/>
      <c r="I106"/>
      <c r="J106" s="14"/>
    </row>
    <row r="107" spans="1:10" ht="12.75">
      <c r="A107"/>
      <c r="B107"/>
      <c r="C107"/>
      <c r="G107"/>
      <c r="H107"/>
      <c r="I107"/>
      <c r="J107" s="14"/>
    </row>
    <row r="108" spans="1:10" ht="12.75">
      <c r="A108"/>
      <c r="B108"/>
      <c r="C108"/>
      <c r="G108"/>
      <c r="H108"/>
      <c r="I108"/>
      <c r="J108" s="14"/>
    </row>
    <row r="109" spans="1:10" ht="12.75">
      <c r="A109"/>
      <c r="B109"/>
      <c r="C109"/>
      <c r="G109"/>
      <c r="H109"/>
      <c r="I109"/>
      <c r="J109" s="14"/>
    </row>
    <row r="110" spans="1:10" ht="12.75">
      <c r="A110"/>
      <c r="B110"/>
      <c r="C110"/>
      <c r="G110"/>
      <c r="H110"/>
      <c r="I110"/>
      <c r="J110" s="14"/>
    </row>
    <row r="111" spans="1:10" ht="12.75">
      <c r="A111"/>
      <c r="B111"/>
      <c r="C111"/>
      <c r="G111"/>
      <c r="H111"/>
      <c r="I111"/>
      <c r="J111" s="14"/>
    </row>
    <row r="112" spans="1:10" ht="12.75">
      <c r="A112"/>
      <c r="B112"/>
      <c r="C112"/>
      <c r="G112"/>
      <c r="H112"/>
      <c r="I112"/>
      <c r="J112" s="14"/>
    </row>
    <row r="113" spans="1:10" ht="12.75">
      <c r="A113"/>
      <c r="B113"/>
      <c r="C113"/>
      <c r="G113"/>
      <c r="H113"/>
      <c r="I113"/>
      <c r="J113" s="14"/>
    </row>
    <row r="114" spans="1:10" ht="12.75">
      <c r="A114"/>
      <c r="B114"/>
      <c r="C114"/>
      <c r="G114"/>
      <c r="H114"/>
      <c r="I114"/>
      <c r="J114" s="14"/>
    </row>
    <row r="115" spans="1:10" ht="12.75">
      <c r="A115"/>
      <c r="B115"/>
      <c r="C115"/>
      <c r="G115"/>
      <c r="H115"/>
      <c r="I115"/>
      <c r="J115" s="14"/>
    </row>
    <row r="116" spans="1:10" ht="12.75">
      <c r="A116"/>
      <c r="B116"/>
      <c r="C116"/>
      <c r="G116"/>
      <c r="H116"/>
      <c r="I116"/>
      <c r="J116" s="14"/>
    </row>
    <row r="117" spans="1:10" ht="12.75">
      <c r="A117"/>
      <c r="B117"/>
      <c r="C117"/>
      <c r="G117"/>
      <c r="H117"/>
      <c r="I117"/>
      <c r="J117" s="14"/>
    </row>
    <row r="118" spans="1:10" ht="12.75">
      <c r="A118"/>
      <c r="B118"/>
      <c r="C118"/>
      <c r="G118"/>
      <c r="H118"/>
      <c r="I118"/>
      <c r="J118" s="14"/>
    </row>
    <row r="119" spans="1:10" ht="12.75">
      <c r="A119"/>
      <c r="B119"/>
      <c r="C119"/>
      <c r="G119"/>
      <c r="H119"/>
      <c r="I119"/>
      <c r="J119" s="14"/>
    </row>
    <row r="120" spans="1:10" ht="12.75">
      <c r="A120"/>
      <c r="B120"/>
      <c r="C120"/>
      <c r="G120"/>
      <c r="H120"/>
      <c r="I120"/>
      <c r="J120" s="14"/>
    </row>
    <row r="121" spans="1:10" ht="12.75">
      <c r="A121"/>
      <c r="B121"/>
      <c r="C121"/>
      <c r="G121"/>
      <c r="H121"/>
      <c r="I121"/>
      <c r="J121" s="14"/>
    </row>
    <row r="122" spans="1:10" ht="12.75">
      <c r="A122"/>
      <c r="B122"/>
      <c r="C122"/>
      <c r="G122"/>
      <c r="H122"/>
      <c r="I122"/>
      <c r="J122" s="14"/>
    </row>
    <row r="123" spans="1:10" ht="12.75">
      <c r="A123"/>
      <c r="B123"/>
      <c r="C123"/>
      <c r="G123"/>
      <c r="H123"/>
      <c r="I123"/>
      <c r="J123" s="14"/>
    </row>
    <row r="124" spans="1:10" ht="12.75">
      <c r="A124"/>
      <c r="B124"/>
      <c r="C124"/>
      <c r="G124"/>
      <c r="H124"/>
      <c r="I124"/>
      <c r="J124" s="14"/>
    </row>
    <row r="125" spans="1:10" ht="12.75">
      <c r="A125"/>
      <c r="B125"/>
      <c r="C125"/>
      <c r="G125"/>
      <c r="H125"/>
      <c r="I125"/>
      <c r="J125" s="14"/>
    </row>
    <row r="126" spans="1:10" ht="12.75">
      <c r="A126"/>
      <c r="B126"/>
      <c r="C126"/>
      <c r="G126"/>
      <c r="H126"/>
      <c r="I126"/>
      <c r="J126" s="14"/>
    </row>
    <row r="127" spans="1:10" ht="12.75">
      <c r="A127"/>
      <c r="B127"/>
      <c r="C127"/>
      <c r="G127"/>
      <c r="H127"/>
      <c r="I127"/>
      <c r="J127" s="14"/>
    </row>
    <row r="128" spans="1:10" ht="12.75">
      <c r="A128"/>
      <c r="B128"/>
      <c r="C128"/>
      <c r="G128"/>
      <c r="H128"/>
      <c r="I128"/>
      <c r="J128" s="14"/>
    </row>
    <row r="129" spans="1:10" ht="12.75">
      <c r="A129"/>
      <c r="B129"/>
      <c r="C129"/>
      <c r="G129"/>
      <c r="H129"/>
      <c r="I129"/>
      <c r="J129" s="14"/>
    </row>
    <row r="130" spans="1:10" ht="12.75">
      <c r="A130"/>
      <c r="B130"/>
      <c r="C130"/>
      <c r="G130"/>
      <c r="H130"/>
      <c r="I130"/>
      <c r="J130" s="14"/>
    </row>
    <row r="131" spans="1:10" ht="12.75">
      <c r="A131"/>
      <c r="B131"/>
      <c r="C131"/>
      <c r="G131"/>
      <c r="H131"/>
      <c r="I131"/>
      <c r="J131" s="14"/>
    </row>
    <row r="132" spans="1:10" ht="12.75">
      <c r="A132"/>
      <c r="B132"/>
      <c r="C132"/>
      <c r="G132"/>
      <c r="H132"/>
      <c r="I132"/>
      <c r="J132" s="14"/>
    </row>
    <row r="133" spans="1:10" ht="12.75">
      <c r="A133"/>
      <c r="B133"/>
      <c r="C133"/>
      <c r="G133"/>
      <c r="H133"/>
      <c r="I133"/>
      <c r="J133" s="14"/>
    </row>
    <row r="134" spans="1:10" ht="12.75">
      <c r="A134"/>
      <c r="B134"/>
      <c r="C134"/>
      <c r="G134"/>
      <c r="H134"/>
      <c r="I134"/>
      <c r="J134" s="14"/>
    </row>
    <row r="135" spans="1:10" ht="12.75">
      <c r="A135"/>
      <c r="B135"/>
      <c r="C135"/>
      <c r="G135"/>
      <c r="H135"/>
      <c r="I135"/>
      <c r="J135" s="14"/>
    </row>
    <row r="136" spans="1:10" ht="12.75">
      <c r="A136"/>
      <c r="B136"/>
      <c r="C136"/>
      <c r="G136"/>
      <c r="H136"/>
      <c r="I136"/>
      <c r="J136" s="14"/>
    </row>
    <row r="137" spans="1:10" ht="12.75">
      <c r="A137"/>
      <c r="B137"/>
      <c r="C137"/>
      <c r="G137"/>
      <c r="H137"/>
      <c r="I137"/>
      <c r="J137" s="14"/>
    </row>
    <row r="138" spans="1:10" ht="12.75">
      <c r="A138"/>
      <c r="B138"/>
      <c r="C138"/>
      <c r="G138"/>
      <c r="H138"/>
      <c r="I138"/>
      <c r="J138" s="14"/>
    </row>
    <row r="139" spans="1:10" ht="12.75">
      <c r="A139"/>
      <c r="B139"/>
      <c r="C139"/>
      <c r="G139"/>
      <c r="H139"/>
      <c r="I139"/>
      <c r="J139" s="14"/>
    </row>
    <row r="140" spans="1:10" ht="12.75">
      <c r="A140"/>
      <c r="B140"/>
      <c r="C140"/>
      <c r="G140"/>
      <c r="H140"/>
      <c r="I140"/>
      <c r="J140" s="14"/>
    </row>
    <row r="141" spans="1:10" ht="12.75">
      <c r="A141"/>
      <c r="B141"/>
      <c r="C141"/>
      <c r="G141"/>
      <c r="H141"/>
      <c r="I141"/>
      <c r="J141" s="14"/>
    </row>
    <row r="142" spans="1:10" ht="12.75">
      <c r="A142"/>
      <c r="B142"/>
      <c r="C142"/>
      <c r="G142"/>
      <c r="H142"/>
      <c r="I142"/>
      <c r="J142" s="14"/>
    </row>
    <row r="143" spans="1:10" ht="12.75">
      <c r="A143"/>
      <c r="B143"/>
      <c r="C143"/>
      <c r="G143"/>
      <c r="H143"/>
      <c r="I143"/>
      <c r="J143" s="14"/>
    </row>
    <row r="144" spans="1:10" ht="12.75">
      <c r="A144"/>
      <c r="B144"/>
      <c r="C144"/>
      <c r="G144"/>
      <c r="H144"/>
      <c r="I144"/>
      <c r="J144" s="14"/>
    </row>
    <row r="145" spans="1:10" ht="12.75">
      <c r="A145"/>
      <c r="B145"/>
      <c r="C145"/>
      <c r="G145"/>
      <c r="H145"/>
      <c r="I145"/>
      <c r="J145" s="14"/>
    </row>
    <row r="146" spans="1:10" ht="12.75">
      <c r="A146"/>
      <c r="B146"/>
      <c r="C146"/>
      <c r="G146"/>
      <c r="H146"/>
      <c r="I146"/>
      <c r="J146" s="14"/>
    </row>
    <row r="147" spans="1:10" ht="12.75">
      <c r="A147"/>
      <c r="B147"/>
      <c r="C147"/>
      <c r="G147"/>
      <c r="H147"/>
      <c r="I147"/>
      <c r="J147" s="14"/>
    </row>
    <row r="148" spans="1:10" ht="12.75">
      <c r="A148"/>
      <c r="B148"/>
      <c r="C148"/>
      <c r="G148"/>
      <c r="H148"/>
      <c r="I148"/>
      <c r="J148" s="14"/>
    </row>
    <row r="149" spans="1:10" ht="12.75">
      <c r="A149"/>
      <c r="B149"/>
      <c r="C149"/>
      <c r="G149"/>
      <c r="H149"/>
      <c r="I149"/>
      <c r="J149" s="14"/>
    </row>
    <row r="150" spans="1:10" ht="12.75">
      <c r="A150"/>
      <c r="B150"/>
      <c r="C150"/>
      <c r="G150"/>
      <c r="H150"/>
      <c r="I150"/>
      <c r="J150" s="14"/>
    </row>
    <row r="151" spans="1:10" ht="12.75">
      <c r="A151"/>
      <c r="B151"/>
      <c r="C151"/>
      <c r="G151"/>
      <c r="H151"/>
      <c r="I151"/>
      <c r="J151" s="14"/>
    </row>
    <row r="152" spans="1:10" ht="12.75">
      <c r="A152"/>
      <c r="B152"/>
      <c r="C152"/>
      <c r="G152"/>
      <c r="H152"/>
      <c r="I152"/>
      <c r="J152" s="14"/>
    </row>
    <row r="153" spans="1:10" ht="12.75">
      <c r="A153"/>
      <c r="B153"/>
      <c r="C153"/>
      <c r="G153"/>
      <c r="H153"/>
      <c r="I153"/>
      <c r="J153" s="14"/>
    </row>
    <row r="154" spans="1:10" ht="12.75">
      <c r="A154"/>
      <c r="B154"/>
      <c r="C154"/>
      <c r="G154"/>
      <c r="H154"/>
      <c r="I154"/>
      <c r="J154" s="14"/>
    </row>
    <row r="155" spans="1:10" ht="12.75">
      <c r="A155"/>
      <c r="B155"/>
      <c r="C155"/>
      <c r="G155"/>
      <c r="H155"/>
      <c r="I155"/>
      <c r="J155" s="14"/>
    </row>
    <row r="156" spans="1:10" ht="12.75">
      <c r="A156"/>
      <c r="B156"/>
      <c r="C156"/>
      <c r="G156"/>
      <c r="H156"/>
      <c r="I156"/>
      <c r="J156" s="14"/>
    </row>
    <row r="157" spans="1:10" ht="12.75">
      <c r="A157"/>
      <c r="B157"/>
      <c r="C157"/>
      <c r="G157"/>
      <c r="H157"/>
      <c r="I157"/>
      <c r="J157" s="14"/>
    </row>
    <row r="158" spans="1:10" ht="12.75">
      <c r="A158"/>
      <c r="B158"/>
      <c r="C158"/>
      <c r="G158"/>
      <c r="H158"/>
      <c r="I158"/>
      <c r="J158" s="14"/>
    </row>
    <row r="159" spans="1:10" ht="12.75">
      <c r="A159"/>
      <c r="B159"/>
      <c r="C159"/>
      <c r="G159"/>
      <c r="H159"/>
      <c r="I159"/>
      <c r="J159" s="14"/>
    </row>
    <row r="160" spans="1:10" ht="12.75">
      <c r="A160"/>
      <c r="B160"/>
      <c r="C160"/>
      <c r="G160"/>
      <c r="H160"/>
      <c r="I160"/>
      <c r="J160" s="14"/>
    </row>
    <row r="161" spans="1:10" ht="12.75">
      <c r="A161"/>
      <c r="B161"/>
      <c r="C161"/>
      <c r="G161"/>
      <c r="H161"/>
      <c r="I161"/>
      <c r="J161" s="14"/>
    </row>
    <row r="162" spans="1:10" ht="12.75">
      <c r="A162"/>
      <c r="B162"/>
      <c r="C162"/>
      <c r="G162"/>
      <c r="H162"/>
      <c r="I162"/>
      <c r="J162" s="14"/>
    </row>
    <row r="163" spans="1:10" ht="12.75">
      <c r="A163"/>
      <c r="B163"/>
      <c r="C163"/>
      <c r="G163"/>
      <c r="H163"/>
      <c r="I163"/>
      <c r="J163" s="14"/>
    </row>
    <row r="164" spans="1:10" ht="12.75">
      <c r="A164"/>
      <c r="B164"/>
      <c r="C164"/>
      <c r="G164"/>
      <c r="H164"/>
      <c r="I164"/>
      <c r="J164" s="14"/>
    </row>
    <row r="165" spans="1:10" ht="12.75">
      <c r="A165"/>
      <c r="B165"/>
      <c r="C165"/>
      <c r="G165"/>
      <c r="H165"/>
      <c r="I165"/>
      <c r="J165" s="14"/>
    </row>
    <row r="166" spans="1:10" ht="12.75">
      <c r="A166"/>
      <c r="B166"/>
      <c r="C166"/>
      <c r="G166"/>
      <c r="H166"/>
      <c r="I166"/>
      <c r="J166" s="14"/>
    </row>
    <row r="167" spans="1:10" ht="12.75">
      <c r="A167"/>
      <c r="B167"/>
      <c r="C167"/>
      <c r="G167"/>
      <c r="H167"/>
      <c r="I167"/>
      <c r="J167" s="14"/>
    </row>
    <row r="168" spans="1:10" ht="12.75">
      <c r="A168"/>
      <c r="B168"/>
      <c r="C168"/>
      <c r="G168"/>
      <c r="H168"/>
      <c r="I168"/>
      <c r="J168" s="14"/>
    </row>
    <row r="169" spans="1:10" ht="12.75">
      <c r="A169"/>
      <c r="B169"/>
      <c r="C169"/>
      <c r="G169"/>
      <c r="H169"/>
      <c r="I169"/>
      <c r="J169" s="14"/>
    </row>
    <row r="170" spans="1:10" ht="12.75">
      <c r="A170"/>
      <c r="B170"/>
      <c r="C170"/>
      <c r="G170"/>
      <c r="H170"/>
      <c r="I170"/>
      <c r="J170" s="14"/>
    </row>
    <row r="171" spans="1:10" ht="12.75">
      <c r="A171"/>
      <c r="B171"/>
      <c r="C171"/>
      <c r="G171"/>
      <c r="H171"/>
      <c r="I171"/>
      <c r="J171" s="14"/>
    </row>
    <row r="172" spans="1:10" ht="12.75">
      <c r="A172"/>
      <c r="B172"/>
      <c r="C172"/>
      <c r="G172"/>
      <c r="H172"/>
      <c r="I172"/>
      <c r="J172" s="14"/>
    </row>
    <row r="173" spans="1:10" ht="12.75">
      <c r="A173"/>
      <c r="B173"/>
      <c r="C173"/>
      <c r="G173"/>
      <c r="H173"/>
      <c r="I173"/>
      <c r="J173" s="14"/>
    </row>
    <row r="174" spans="1:10" ht="12.75">
      <c r="A174"/>
      <c r="B174"/>
      <c r="C174"/>
      <c r="G174"/>
      <c r="H174"/>
      <c r="I174"/>
      <c r="J174" s="14"/>
    </row>
    <row r="175" spans="1:10" ht="12.75">
      <c r="A175"/>
      <c r="B175"/>
      <c r="C175"/>
      <c r="G175"/>
      <c r="H175"/>
      <c r="I175"/>
      <c r="J175" s="14"/>
    </row>
    <row r="176" spans="1:10" ht="12.75">
      <c r="A176"/>
      <c r="B176"/>
      <c r="C176"/>
      <c r="G176"/>
      <c r="H176"/>
      <c r="I176"/>
      <c r="J176" s="14"/>
    </row>
    <row r="177" spans="1:10" ht="12.75">
      <c r="A177"/>
      <c r="B177"/>
      <c r="C177"/>
      <c r="G177"/>
      <c r="H177"/>
      <c r="I177"/>
      <c r="J177" s="14"/>
    </row>
    <row r="178" spans="1:10" ht="12.75">
      <c r="A178"/>
      <c r="B178"/>
      <c r="C178"/>
      <c r="G178"/>
      <c r="H178"/>
      <c r="I178"/>
      <c r="J178" s="14"/>
    </row>
    <row r="179" spans="1:10" ht="12.75">
      <c r="A179"/>
      <c r="B179"/>
      <c r="C179"/>
      <c r="G179"/>
      <c r="H179"/>
      <c r="I179"/>
      <c r="J179" s="14"/>
    </row>
    <row r="180" spans="1:10" ht="12.75">
      <c r="A180"/>
      <c r="B180"/>
      <c r="C180"/>
      <c r="G180"/>
      <c r="H180"/>
      <c r="I180"/>
      <c r="J180" s="14"/>
    </row>
    <row r="181" spans="1:10" ht="12.75">
      <c r="A181"/>
      <c r="B181"/>
      <c r="C181"/>
      <c r="G181"/>
      <c r="H181"/>
      <c r="I181"/>
      <c r="J181" s="14"/>
    </row>
    <row r="182" spans="1:10" ht="12.75">
      <c r="A182"/>
      <c r="B182"/>
      <c r="C182"/>
      <c r="G182"/>
      <c r="H182"/>
      <c r="I182"/>
      <c r="J182" s="14"/>
    </row>
    <row r="183" spans="1:10" ht="12.75">
      <c r="A183"/>
      <c r="B183"/>
      <c r="C183"/>
      <c r="G183"/>
      <c r="H183"/>
      <c r="I183"/>
      <c r="J183" s="14"/>
    </row>
    <row r="184" spans="1:10" ht="12.75">
      <c r="A184"/>
      <c r="B184"/>
      <c r="C184"/>
      <c r="G184"/>
      <c r="H184"/>
      <c r="I184"/>
      <c r="J184" s="14"/>
    </row>
    <row r="185" spans="1:10" ht="12.75">
      <c r="A185"/>
      <c r="B185"/>
      <c r="C185"/>
      <c r="G185"/>
      <c r="H185"/>
      <c r="I185"/>
      <c r="J185" s="14"/>
    </row>
    <row r="186" spans="1:10" ht="12.75">
      <c r="A186"/>
      <c r="B186"/>
      <c r="C186"/>
      <c r="G186"/>
      <c r="H186"/>
      <c r="I186"/>
      <c r="J186" s="14"/>
    </row>
    <row r="187" spans="1:10" ht="12.75">
      <c r="A187"/>
      <c r="B187"/>
      <c r="C187"/>
      <c r="G187"/>
      <c r="H187"/>
      <c r="I187"/>
      <c r="J187" s="14"/>
    </row>
    <row r="188" spans="1:10" ht="12.75">
      <c r="A188"/>
      <c r="B188"/>
      <c r="C188"/>
      <c r="G188"/>
      <c r="H188"/>
      <c r="I188"/>
      <c r="J188" s="14"/>
    </row>
    <row r="189" spans="1:10" ht="12.75">
      <c r="A189"/>
      <c r="B189"/>
      <c r="C189"/>
      <c r="G189"/>
      <c r="H189"/>
      <c r="I189"/>
      <c r="J189" s="14"/>
    </row>
    <row r="190" spans="1:10" ht="12.75">
      <c r="A190"/>
      <c r="B190"/>
      <c r="C190"/>
      <c r="G190"/>
      <c r="H190"/>
      <c r="I190"/>
      <c r="J190" s="14"/>
    </row>
    <row r="191" spans="1:10" ht="12.75">
      <c r="A191"/>
      <c r="B191"/>
      <c r="C191"/>
      <c r="G191"/>
      <c r="H191"/>
      <c r="I191"/>
      <c r="J191" s="14"/>
    </row>
    <row r="192" spans="1:10" ht="12.75">
      <c r="A192"/>
      <c r="B192"/>
      <c r="C192"/>
      <c r="G192"/>
      <c r="H192"/>
      <c r="I192"/>
      <c r="J192" s="14"/>
    </row>
    <row r="193" spans="1:10" ht="12.75">
      <c r="A193"/>
      <c r="B193"/>
      <c r="C193"/>
      <c r="G193"/>
      <c r="H193"/>
      <c r="I193"/>
      <c r="J193" s="14"/>
    </row>
    <row r="194" spans="1:10" ht="12.75">
      <c r="A194"/>
      <c r="B194"/>
      <c r="C194"/>
      <c r="G194"/>
      <c r="H194"/>
      <c r="I194"/>
      <c r="J194" s="14"/>
    </row>
    <row r="195" spans="1:10" ht="12.75">
      <c r="A195"/>
      <c r="B195"/>
      <c r="C195"/>
      <c r="G195"/>
      <c r="H195"/>
      <c r="I195"/>
      <c r="J195" s="14"/>
    </row>
    <row r="196" spans="1:10" ht="12.75">
      <c r="A196"/>
      <c r="B196"/>
      <c r="C196"/>
      <c r="G196"/>
      <c r="H196"/>
      <c r="I196"/>
      <c r="J196" s="14"/>
    </row>
    <row r="197" spans="1:10" ht="12.75">
      <c r="A197"/>
      <c r="B197"/>
      <c r="C197"/>
      <c r="G197"/>
      <c r="H197"/>
      <c r="I197"/>
      <c r="J197" s="14"/>
    </row>
    <row r="198" spans="1:10" ht="12.75">
      <c r="A198"/>
      <c r="B198"/>
      <c r="C198"/>
      <c r="G198"/>
      <c r="H198"/>
      <c r="I198"/>
      <c r="J198" s="14"/>
    </row>
    <row r="199" spans="1:10" ht="12.75">
      <c r="A199"/>
      <c r="B199"/>
      <c r="C199"/>
      <c r="G199"/>
      <c r="H199"/>
      <c r="I199"/>
      <c r="J199" s="14"/>
    </row>
    <row r="200" spans="1:10" ht="12.75">
      <c r="A200"/>
      <c r="B200"/>
      <c r="C200"/>
      <c r="G200"/>
      <c r="H200"/>
      <c r="I200"/>
      <c r="J200" s="14"/>
    </row>
    <row r="201" spans="1:10" ht="12.75">
      <c r="A201"/>
      <c r="B201"/>
      <c r="C201"/>
      <c r="G201"/>
      <c r="H201"/>
      <c r="I201"/>
      <c r="J201" s="14"/>
    </row>
    <row r="202" spans="1:10" ht="12.75">
      <c r="A202"/>
      <c r="B202"/>
      <c r="C202"/>
      <c r="G202"/>
      <c r="H202"/>
      <c r="I202"/>
      <c r="J202" s="14"/>
    </row>
    <row r="203" spans="1:10" ht="12.75">
      <c r="A203"/>
      <c r="B203"/>
      <c r="C203"/>
      <c r="G203"/>
      <c r="H203"/>
      <c r="I203"/>
      <c r="J203" s="14"/>
    </row>
    <row r="204" spans="1:10" ht="12.75">
      <c r="A204"/>
      <c r="B204"/>
      <c r="C204"/>
      <c r="G204"/>
      <c r="H204"/>
      <c r="I204"/>
      <c r="J204" s="14"/>
    </row>
    <row r="205" spans="1:10" ht="12.75">
      <c r="A205"/>
      <c r="B205"/>
      <c r="C205"/>
      <c r="G205"/>
      <c r="H205"/>
      <c r="I205"/>
      <c r="J205" s="14"/>
    </row>
    <row r="206" spans="1:10" ht="12.75">
      <c r="A206"/>
      <c r="B206"/>
      <c r="C206"/>
      <c r="G206"/>
      <c r="H206"/>
      <c r="I206"/>
      <c r="J206" s="14"/>
    </row>
    <row r="207" spans="1:10" ht="12.75">
      <c r="A207"/>
      <c r="B207"/>
      <c r="C207"/>
      <c r="G207"/>
      <c r="H207"/>
      <c r="I207"/>
      <c r="J207" s="14"/>
    </row>
    <row r="208" spans="1:10" ht="12.75">
      <c r="A208"/>
      <c r="B208"/>
      <c r="C208"/>
      <c r="G208"/>
      <c r="H208"/>
      <c r="I208"/>
      <c r="J208" s="14"/>
    </row>
    <row r="209" spans="1:10" ht="12.75">
      <c r="A209"/>
      <c r="B209"/>
      <c r="C209"/>
      <c r="G209"/>
      <c r="H209"/>
      <c r="I209"/>
      <c r="J209" s="14"/>
    </row>
    <row r="210" spans="1:10" ht="12.75">
      <c r="A210"/>
      <c r="B210"/>
      <c r="C210"/>
      <c r="G210"/>
      <c r="H210"/>
      <c r="I210"/>
      <c r="J210" s="14"/>
    </row>
    <row r="211" spans="1:10" ht="12.75">
      <c r="A211"/>
      <c r="B211"/>
      <c r="C211"/>
      <c r="G211"/>
      <c r="H211"/>
      <c r="I211"/>
      <c r="J211" s="14"/>
    </row>
    <row r="212" spans="1:10" ht="12.75">
      <c r="A212"/>
      <c r="B212"/>
      <c r="C212"/>
      <c r="G212"/>
      <c r="H212"/>
      <c r="I212"/>
      <c r="J212" s="14"/>
    </row>
    <row r="213" spans="1:10" ht="12.75">
      <c r="A213"/>
      <c r="B213"/>
      <c r="C213"/>
      <c r="G213"/>
      <c r="H213"/>
      <c r="I213"/>
      <c r="J213" s="14"/>
    </row>
    <row r="214" spans="1:10" ht="12.75">
      <c r="A214"/>
      <c r="B214"/>
      <c r="C214"/>
      <c r="G214"/>
      <c r="H214"/>
      <c r="I214"/>
      <c r="J214" s="14"/>
    </row>
    <row r="215" spans="1:10" ht="12.75">
      <c r="A215"/>
      <c r="B215"/>
      <c r="C215"/>
      <c r="G215"/>
      <c r="H215"/>
      <c r="I215"/>
      <c r="J215" s="14"/>
    </row>
    <row r="216" spans="1:10" ht="12.75">
      <c r="A216"/>
      <c r="B216"/>
      <c r="C216"/>
      <c r="G216"/>
      <c r="H216"/>
      <c r="I216"/>
      <c r="J216" s="14"/>
    </row>
    <row r="217" spans="1:10" ht="12.75">
      <c r="A217"/>
      <c r="B217"/>
      <c r="C217"/>
      <c r="G217"/>
      <c r="H217"/>
      <c r="I217"/>
      <c r="J217" s="14"/>
    </row>
    <row r="218" spans="1:10" ht="12.75">
      <c r="A218"/>
      <c r="B218"/>
      <c r="C218"/>
      <c r="G218"/>
      <c r="H218"/>
      <c r="I218"/>
      <c r="J218" s="14"/>
    </row>
    <row r="219" spans="1:10" ht="12.75">
      <c r="A219"/>
      <c r="B219"/>
      <c r="C219"/>
      <c r="G219"/>
      <c r="H219"/>
      <c r="I219"/>
      <c r="J219" s="14"/>
    </row>
    <row r="220" spans="1:10" ht="12.75">
      <c r="A220"/>
      <c r="B220"/>
      <c r="C220"/>
      <c r="G220"/>
      <c r="H220"/>
      <c r="I220"/>
      <c r="J220" s="14"/>
    </row>
    <row r="221" spans="1:10" ht="12.75">
      <c r="A221"/>
      <c r="B221"/>
      <c r="C221"/>
      <c r="G221"/>
      <c r="H221"/>
      <c r="I221"/>
      <c r="J221" s="14"/>
    </row>
    <row r="222" spans="1:10" ht="12.75">
      <c r="A222"/>
      <c r="B222"/>
      <c r="C222"/>
      <c r="G222"/>
      <c r="H222"/>
      <c r="I222"/>
      <c r="J222" s="14"/>
    </row>
    <row r="223" spans="1:10" ht="12.75">
      <c r="A223"/>
      <c r="B223"/>
      <c r="C223"/>
      <c r="G223"/>
      <c r="H223"/>
      <c r="I223"/>
      <c r="J223" s="14"/>
    </row>
    <row r="224" spans="1:10" ht="12.75">
      <c r="A224"/>
      <c r="B224"/>
      <c r="C224"/>
      <c r="G224"/>
      <c r="H224"/>
      <c r="I224"/>
      <c r="J224" s="14"/>
    </row>
    <row r="225" spans="1:10" ht="12.75">
      <c r="A225"/>
      <c r="B225"/>
      <c r="C225"/>
      <c r="G225"/>
      <c r="H225"/>
      <c r="I225"/>
      <c r="J225" s="14"/>
    </row>
    <row r="226" spans="1:10" ht="12.75">
      <c r="A226"/>
      <c r="B226"/>
      <c r="C226"/>
      <c r="G226"/>
      <c r="H226"/>
      <c r="I226"/>
      <c r="J226" s="14"/>
    </row>
    <row r="227" spans="1:10" ht="12.75">
      <c r="A227"/>
      <c r="B227"/>
      <c r="C227"/>
      <c r="G227"/>
      <c r="H227"/>
      <c r="I227"/>
      <c r="J227" s="14"/>
    </row>
    <row r="228" spans="1:10" ht="12.75">
      <c r="A228"/>
      <c r="B228"/>
      <c r="C228"/>
      <c r="G228"/>
      <c r="H228"/>
      <c r="I228"/>
      <c r="J228" s="14"/>
    </row>
    <row r="229" spans="1:10" ht="12.75">
      <c r="A229"/>
      <c r="B229"/>
      <c r="C229"/>
      <c r="G229"/>
      <c r="H229"/>
      <c r="I229"/>
      <c r="J229" s="14"/>
    </row>
    <row r="230" spans="1:10" ht="12.75">
      <c r="A230"/>
      <c r="B230"/>
      <c r="C230"/>
      <c r="G230"/>
      <c r="H230"/>
      <c r="I230"/>
      <c r="J230" s="14"/>
    </row>
    <row r="231" spans="1:10" ht="12.75">
      <c r="A231"/>
      <c r="B231"/>
      <c r="C231"/>
      <c r="G231"/>
      <c r="H231"/>
      <c r="I231"/>
      <c r="J231" s="14"/>
    </row>
    <row r="232" spans="1:10" ht="12.75">
      <c r="A232"/>
      <c r="B232"/>
      <c r="C232"/>
      <c r="G232"/>
      <c r="H232"/>
      <c r="I232"/>
      <c r="J232" s="14"/>
    </row>
    <row r="233" spans="1:10" ht="12.75">
      <c r="A233"/>
      <c r="B233"/>
      <c r="C233"/>
      <c r="G233"/>
      <c r="H233"/>
      <c r="I233"/>
      <c r="J233" s="14"/>
    </row>
    <row r="234" spans="1:10" ht="12.75">
      <c r="A234"/>
      <c r="B234"/>
      <c r="C234"/>
      <c r="G234"/>
      <c r="H234"/>
      <c r="I234"/>
      <c r="J234" s="14"/>
    </row>
    <row r="235" spans="1:10" ht="12.75">
      <c r="A235"/>
      <c r="B235"/>
      <c r="C235"/>
      <c r="G235"/>
      <c r="H235"/>
      <c r="I235"/>
      <c r="J235" s="14"/>
    </row>
    <row r="236" spans="1:10" ht="12.75">
      <c r="A236"/>
      <c r="B236"/>
      <c r="C236"/>
      <c r="G236"/>
      <c r="H236"/>
      <c r="I236"/>
      <c r="J236" s="14"/>
    </row>
    <row r="237" spans="1:10" ht="12.75">
      <c r="A237"/>
      <c r="B237"/>
      <c r="C237"/>
      <c r="G237"/>
      <c r="H237"/>
      <c r="I237"/>
      <c r="J237" s="14"/>
    </row>
    <row r="238" spans="1:10" ht="12.75">
      <c r="A238"/>
      <c r="B238"/>
      <c r="C238"/>
      <c r="G238"/>
      <c r="H238"/>
      <c r="I238"/>
      <c r="J238" s="14"/>
    </row>
    <row r="239" spans="1:10" ht="12.75">
      <c r="A239"/>
      <c r="B239"/>
      <c r="C239"/>
      <c r="G239"/>
      <c r="H239"/>
      <c r="I239"/>
      <c r="J239" s="14"/>
    </row>
    <row r="240" spans="1:10" ht="12.75">
      <c r="A240"/>
      <c r="B240"/>
      <c r="C240"/>
      <c r="G240"/>
      <c r="H240"/>
      <c r="I240"/>
      <c r="J240" s="14"/>
    </row>
    <row r="241" spans="1:10" ht="12.75">
      <c r="A241"/>
      <c r="B241"/>
      <c r="C241"/>
      <c r="G241"/>
      <c r="H241"/>
      <c r="I241"/>
      <c r="J241" s="14"/>
    </row>
    <row r="242" spans="1:10" ht="12.75">
      <c r="A242"/>
      <c r="B242"/>
      <c r="C242"/>
      <c r="G242"/>
      <c r="H242"/>
      <c r="I242"/>
      <c r="J242" s="14"/>
    </row>
    <row r="243" spans="1:10" ht="12.75">
      <c r="A243"/>
      <c r="B243"/>
      <c r="C243"/>
      <c r="G243"/>
      <c r="H243"/>
      <c r="I243"/>
      <c r="J243" s="14"/>
    </row>
    <row r="244" spans="1:10" ht="12.75">
      <c r="A244"/>
      <c r="B244"/>
      <c r="C244"/>
      <c r="G244"/>
      <c r="H244"/>
      <c r="I244"/>
      <c r="J244" s="14"/>
    </row>
    <row r="245" spans="1:10" ht="12.75">
      <c r="A245"/>
      <c r="B245"/>
      <c r="C245"/>
      <c r="G245"/>
      <c r="H245"/>
      <c r="I245"/>
      <c r="J245" s="14"/>
    </row>
    <row r="246" spans="1:10" ht="12.75">
      <c r="A246"/>
      <c r="B246"/>
      <c r="C246"/>
      <c r="G246"/>
      <c r="H246"/>
      <c r="I246"/>
      <c r="J246" s="14"/>
    </row>
    <row r="247" spans="1:10" ht="12.75">
      <c r="A247"/>
      <c r="B247"/>
      <c r="C247"/>
      <c r="G247"/>
      <c r="H247"/>
      <c r="I247"/>
      <c r="J247" s="14"/>
    </row>
    <row r="248" spans="1:10" ht="12.75">
      <c r="A248"/>
      <c r="B248"/>
      <c r="C248"/>
      <c r="G248"/>
      <c r="H248"/>
      <c r="I248"/>
      <c r="J248" s="14"/>
    </row>
    <row r="249" spans="1:10" ht="12.75">
      <c r="A249"/>
      <c r="B249"/>
      <c r="C249"/>
      <c r="G249"/>
      <c r="H249"/>
      <c r="I249"/>
      <c r="J249" s="14"/>
    </row>
    <row r="250" spans="1:10" ht="12.75">
      <c r="A250"/>
      <c r="B250"/>
      <c r="C250"/>
      <c r="G250"/>
      <c r="H250"/>
      <c r="I250"/>
      <c r="J250" s="14"/>
    </row>
    <row r="251" spans="1:10" ht="12.75">
      <c r="A251"/>
      <c r="B251"/>
      <c r="C251"/>
      <c r="G251"/>
      <c r="H251"/>
      <c r="I251"/>
      <c r="J251" s="14"/>
    </row>
    <row r="252" spans="1:10" ht="12.75">
      <c r="A252"/>
      <c r="B252"/>
      <c r="C252"/>
      <c r="G252"/>
      <c r="H252"/>
      <c r="I252"/>
      <c r="J252" s="14"/>
    </row>
    <row r="253" spans="1:10" ht="12.75">
      <c r="A253"/>
      <c r="B253"/>
      <c r="C253"/>
      <c r="G253"/>
      <c r="H253"/>
      <c r="I253"/>
      <c r="J253" s="14"/>
    </row>
    <row r="254" spans="1:10" ht="12.75">
      <c r="A254"/>
      <c r="B254"/>
      <c r="C254"/>
      <c r="G254"/>
      <c r="H254"/>
      <c r="I254"/>
      <c r="J254" s="14"/>
    </row>
    <row r="255" spans="1:10" ht="12.75">
      <c r="A255"/>
      <c r="B255"/>
      <c r="C255"/>
      <c r="G255"/>
      <c r="H255"/>
      <c r="I255"/>
      <c r="J255" s="14"/>
    </row>
    <row r="256" spans="1:10" ht="12.75">
      <c r="A256"/>
      <c r="B256"/>
      <c r="C256"/>
      <c r="G256"/>
      <c r="H256"/>
      <c r="I256"/>
      <c r="J256" s="14"/>
    </row>
    <row r="257" spans="1:10" ht="12.75">
      <c r="A257"/>
      <c r="B257"/>
      <c r="C257"/>
      <c r="G257"/>
      <c r="H257"/>
      <c r="I257"/>
      <c r="J257" s="14"/>
    </row>
    <row r="258" spans="1:10" ht="12.75">
      <c r="A258"/>
      <c r="B258"/>
      <c r="C258"/>
      <c r="G258"/>
      <c r="H258"/>
      <c r="I258"/>
      <c r="J258" s="14"/>
    </row>
    <row r="259" spans="1:10" ht="12.75">
      <c r="A259"/>
      <c r="B259"/>
      <c r="C259"/>
      <c r="G259"/>
      <c r="H259"/>
      <c r="I259"/>
      <c r="J259" s="14"/>
    </row>
    <row r="260" spans="1:10" ht="12.75">
      <c r="A260"/>
      <c r="B260"/>
      <c r="C260"/>
      <c r="G260"/>
      <c r="H260"/>
      <c r="I260"/>
      <c r="J260" s="14"/>
    </row>
    <row r="261" spans="1:10" ht="12.75">
      <c r="A261"/>
      <c r="B261"/>
      <c r="C261"/>
      <c r="G261"/>
      <c r="H261"/>
      <c r="I261"/>
      <c r="J261" s="14"/>
    </row>
    <row r="262" spans="1:10" ht="12.75">
      <c r="A262"/>
      <c r="B262"/>
      <c r="C262"/>
      <c r="G262"/>
      <c r="H262"/>
      <c r="I262"/>
      <c r="J262" s="14"/>
    </row>
    <row r="263" spans="1:10" ht="12.75">
      <c r="A263"/>
      <c r="B263"/>
      <c r="C263"/>
      <c r="G263"/>
      <c r="H263"/>
      <c r="I263"/>
      <c r="J263" s="14"/>
    </row>
    <row r="264" spans="1:10" ht="12.75">
      <c r="A264"/>
      <c r="B264"/>
      <c r="C264"/>
      <c r="G264"/>
      <c r="H264"/>
      <c r="I264"/>
      <c r="J264" s="14"/>
    </row>
    <row r="265" spans="1:10" ht="12.75">
      <c r="A265"/>
      <c r="B265"/>
      <c r="C265"/>
      <c r="G265"/>
      <c r="H265"/>
      <c r="I265"/>
      <c r="J265" s="14"/>
    </row>
    <row r="266" spans="1:10" ht="12.75">
      <c r="A266"/>
      <c r="B266"/>
      <c r="C266"/>
      <c r="G266"/>
      <c r="H266"/>
      <c r="I266"/>
      <c r="J266" s="14"/>
    </row>
    <row r="267" spans="1:10" ht="12.75">
      <c r="A267"/>
      <c r="B267"/>
      <c r="C267"/>
      <c r="G267"/>
      <c r="H267"/>
      <c r="I267"/>
      <c r="J267" s="14"/>
    </row>
    <row r="268" spans="1:10" ht="12.75">
      <c r="A268"/>
      <c r="B268"/>
      <c r="C268"/>
      <c r="G268"/>
      <c r="H268"/>
      <c r="I268"/>
      <c r="J268" s="14"/>
    </row>
    <row r="269" spans="1:10" ht="12.75">
      <c r="A269"/>
      <c r="B269"/>
      <c r="C269"/>
      <c r="G269"/>
      <c r="H269"/>
      <c r="I269"/>
      <c r="J269" s="14"/>
    </row>
    <row r="270" spans="1:10" ht="12.75">
      <c r="A270"/>
      <c r="B270"/>
      <c r="C270"/>
      <c r="G270"/>
      <c r="H270"/>
      <c r="I270"/>
      <c r="J270" s="14"/>
    </row>
    <row r="271" spans="1:10" ht="12.75">
      <c r="A271"/>
      <c r="B271"/>
      <c r="C271"/>
      <c r="G271"/>
      <c r="H271"/>
      <c r="I271"/>
      <c r="J271" s="14"/>
    </row>
    <row r="272" spans="1:10" ht="12.75">
      <c r="A272"/>
      <c r="B272"/>
      <c r="C272"/>
      <c r="G272"/>
      <c r="H272"/>
      <c r="I272"/>
      <c r="J272" s="14"/>
    </row>
    <row r="273" spans="1:10" ht="12.75">
      <c r="A273"/>
      <c r="B273"/>
      <c r="C273"/>
      <c r="G273"/>
      <c r="H273"/>
      <c r="I273"/>
      <c r="J273" s="14"/>
    </row>
    <row r="274" spans="1:10" ht="12.75">
      <c r="A274"/>
      <c r="B274"/>
      <c r="C274"/>
      <c r="G274"/>
      <c r="H274"/>
      <c r="I274"/>
      <c r="J274" s="14"/>
    </row>
    <row r="275" spans="1:10" ht="12.75">
      <c r="A275"/>
      <c r="B275"/>
      <c r="C275"/>
      <c r="G275"/>
      <c r="H275"/>
      <c r="I275"/>
      <c r="J275" s="14"/>
    </row>
    <row r="276" spans="1:10" ht="12.75">
      <c r="A276"/>
      <c r="B276"/>
      <c r="C276"/>
      <c r="G276"/>
      <c r="H276"/>
      <c r="I276"/>
      <c r="J276" s="14"/>
    </row>
    <row r="277" spans="1:10" ht="12.75">
      <c r="A277"/>
      <c r="B277"/>
      <c r="C277"/>
      <c r="G277"/>
      <c r="H277"/>
      <c r="I277"/>
      <c r="J277" s="14"/>
    </row>
    <row r="278" spans="1:10" ht="12.75">
      <c r="A278"/>
      <c r="B278"/>
      <c r="C278"/>
      <c r="G278"/>
      <c r="H278"/>
      <c r="I278"/>
      <c r="J278" s="14"/>
    </row>
    <row r="279" spans="1:10" ht="12.75">
      <c r="A279"/>
      <c r="B279"/>
      <c r="C279"/>
      <c r="G279"/>
      <c r="H279"/>
      <c r="I279"/>
      <c r="J279" s="14"/>
    </row>
    <row r="280" spans="1:10" ht="12.75">
      <c r="A280"/>
      <c r="B280"/>
      <c r="C280"/>
      <c r="G280"/>
      <c r="H280"/>
      <c r="I280"/>
      <c r="J280" s="14"/>
    </row>
    <row r="281" spans="1:10" ht="12.75">
      <c r="A281"/>
      <c r="B281"/>
      <c r="C281"/>
      <c r="G281"/>
      <c r="H281"/>
      <c r="I281"/>
      <c r="J281" s="14"/>
    </row>
    <row r="282" spans="1:10" ht="12.75">
      <c r="A282"/>
      <c r="B282"/>
      <c r="C282"/>
      <c r="G282"/>
      <c r="H282"/>
      <c r="I282"/>
      <c r="J282" s="14"/>
    </row>
    <row r="283" spans="1:10" ht="12.75">
      <c r="A283"/>
      <c r="B283"/>
      <c r="C283"/>
      <c r="G283"/>
      <c r="H283"/>
      <c r="I283"/>
      <c r="J283" s="14"/>
    </row>
    <row r="284" spans="1:10" ht="12.75">
      <c r="A284"/>
      <c r="B284"/>
      <c r="C284"/>
      <c r="G284"/>
      <c r="H284"/>
      <c r="I284"/>
      <c r="J284" s="14"/>
    </row>
    <row r="285" spans="1:10" ht="12.75">
      <c r="A285"/>
      <c r="B285"/>
      <c r="C285"/>
      <c r="G285"/>
      <c r="H285"/>
      <c r="I285"/>
      <c r="J285" s="14"/>
    </row>
    <row r="286" spans="1:10" ht="12.75">
      <c r="A286"/>
      <c r="B286"/>
      <c r="C286"/>
      <c r="G286"/>
      <c r="H286"/>
      <c r="I286"/>
      <c r="J286" s="14"/>
    </row>
    <row r="287" spans="1:10" ht="12.75">
      <c r="A287"/>
      <c r="B287"/>
      <c r="C287"/>
      <c r="G287"/>
      <c r="H287"/>
      <c r="I287"/>
      <c r="J287" s="14"/>
    </row>
    <row r="288" spans="1:10" ht="12.75">
      <c r="A288"/>
      <c r="B288"/>
      <c r="C288"/>
      <c r="G288"/>
      <c r="H288"/>
      <c r="I288"/>
      <c r="J288" s="14"/>
    </row>
    <row r="289" spans="1:10" ht="12.75">
      <c r="A289"/>
      <c r="B289"/>
      <c r="C289"/>
      <c r="G289"/>
      <c r="H289"/>
      <c r="I289"/>
      <c r="J289" s="14"/>
    </row>
    <row r="290" spans="1:10" ht="12.75">
      <c r="A290"/>
      <c r="B290"/>
      <c r="C290"/>
      <c r="G290"/>
      <c r="H290"/>
      <c r="I290"/>
      <c r="J290" s="14"/>
    </row>
    <row r="291" spans="1:10" ht="12.75">
      <c r="A291"/>
      <c r="B291"/>
      <c r="C291"/>
      <c r="G291"/>
      <c r="H291"/>
      <c r="I291"/>
      <c r="J291" s="14"/>
    </row>
    <row r="292" spans="1:10" ht="12.75">
      <c r="A292"/>
      <c r="B292"/>
      <c r="C292"/>
      <c r="G292"/>
      <c r="H292"/>
      <c r="I292"/>
      <c r="J292" s="14"/>
    </row>
    <row r="293" spans="1:10" ht="12.75">
      <c r="A293"/>
      <c r="B293"/>
      <c r="C293"/>
      <c r="G293"/>
      <c r="H293"/>
      <c r="I293"/>
      <c r="J293" s="14"/>
    </row>
    <row r="294" spans="1:10" ht="12.75">
      <c r="A294"/>
      <c r="B294"/>
      <c r="C294"/>
      <c r="G294"/>
      <c r="H294"/>
      <c r="I294"/>
      <c r="J294" s="14"/>
    </row>
    <row r="295" spans="1:10" ht="12.75">
      <c r="A295"/>
      <c r="B295"/>
      <c r="C295"/>
      <c r="G295"/>
      <c r="H295"/>
      <c r="I295"/>
      <c r="J295" s="14"/>
    </row>
    <row r="296" spans="1:10" ht="12.75">
      <c r="A296"/>
      <c r="B296"/>
      <c r="C296"/>
      <c r="G296"/>
      <c r="H296"/>
      <c r="I296"/>
      <c r="J296" s="14"/>
    </row>
    <row r="297" spans="1:10" ht="12.75">
      <c r="A297"/>
      <c r="B297"/>
      <c r="C297"/>
      <c r="G297"/>
      <c r="H297"/>
      <c r="I297"/>
      <c r="J297" s="14"/>
    </row>
    <row r="298" spans="1:10" ht="12.75">
      <c r="A298"/>
      <c r="B298"/>
      <c r="C298"/>
      <c r="G298"/>
      <c r="H298"/>
      <c r="I298"/>
      <c r="J298" s="14"/>
    </row>
    <row r="299" spans="1:10" ht="12.75">
      <c r="A299"/>
      <c r="B299"/>
      <c r="C299"/>
      <c r="G299"/>
      <c r="H299"/>
      <c r="I299"/>
      <c r="J299" s="14"/>
    </row>
    <row r="300" spans="1:10" ht="12.75">
      <c r="A300"/>
      <c r="B300"/>
      <c r="C300"/>
      <c r="G300"/>
      <c r="H300"/>
      <c r="I300"/>
      <c r="J300" s="14"/>
    </row>
    <row r="301" spans="1:10" ht="12.75">
      <c r="A301"/>
      <c r="B301"/>
      <c r="C301"/>
      <c r="G301"/>
      <c r="H301"/>
      <c r="I301"/>
      <c r="J301" s="14"/>
    </row>
    <row r="302" spans="1:10" ht="12.75">
      <c r="A302"/>
      <c r="B302"/>
      <c r="C302"/>
      <c r="G302"/>
      <c r="H302"/>
      <c r="I302"/>
      <c r="J302" s="14"/>
    </row>
    <row r="303" spans="1:10" ht="12.75">
      <c r="A303"/>
      <c r="B303"/>
      <c r="C303"/>
      <c r="G303"/>
      <c r="H303"/>
      <c r="I303"/>
      <c r="J303" s="14"/>
    </row>
    <row r="304" spans="1:10" ht="12.75">
      <c r="A304"/>
      <c r="B304"/>
      <c r="C304"/>
      <c r="G304"/>
      <c r="H304"/>
      <c r="I304"/>
      <c r="J304" s="14"/>
    </row>
    <row r="305" spans="1:10" ht="12.75">
      <c r="A305"/>
      <c r="B305"/>
      <c r="C305"/>
      <c r="G305"/>
      <c r="H305"/>
      <c r="I305"/>
      <c r="J305" s="14"/>
    </row>
    <row r="306" spans="1:10" ht="12.75">
      <c r="A306"/>
      <c r="B306"/>
      <c r="C306"/>
      <c r="G306"/>
      <c r="H306"/>
      <c r="I306"/>
      <c r="J306" s="14"/>
    </row>
    <row r="307" spans="1:10" ht="12.75">
      <c r="A307"/>
      <c r="B307"/>
      <c r="C307"/>
      <c r="G307"/>
      <c r="H307"/>
      <c r="I307"/>
      <c r="J307" s="14"/>
    </row>
    <row r="308" spans="1:10" ht="12.75">
      <c r="A308"/>
      <c r="B308"/>
      <c r="C308"/>
      <c r="G308"/>
      <c r="H308"/>
      <c r="I308"/>
      <c r="J308" s="14"/>
    </row>
    <row r="309" spans="1:10" ht="12.75">
      <c r="A309"/>
      <c r="B309"/>
      <c r="C309"/>
      <c r="G309"/>
      <c r="H309"/>
      <c r="I309"/>
      <c r="J309" s="14"/>
    </row>
    <row r="310" spans="1:10" ht="12.75">
      <c r="A310"/>
      <c r="B310"/>
      <c r="C310"/>
      <c r="G310"/>
      <c r="H310"/>
      <c r="I310"/>
      <c r="J310" s="14"/>
    </row>
    <row r="311" spans="1:10" ht="12.75">
      <c r="A311"/>
      <c r="B311"/>
      <c r="C311"/>
      <c r="G311"/>
      <c r="H311"/>
      <c r="I311"/>
      <c r="J311" s="14"/>
    </row>
    <row r="312" spans="1:10" ht="12.75">
      <c r="A312"/>
      <c r="B312"/>
      <c r="C312"/>
      <c r="G312"/>
      <c r="H312"/>
      <c r="I312"/>
      <c r="J312" s="14"/>
    </row>
    <row r="313" spans="1:10" ht="12.75">
      <c r="A313"/>
      <c r="B313"/>
      <c r="C313"/>
      <c r="G313"/>
      <c r="H313"/>
      <c r="I313"/>
      <c r="J313" s="14"/>
    </row>
    <row r="314" spans="1:10" ht="12.75">
      <c r="A314"/>
      <c r="B314"/>
      <c r="C314"/>
      <c r="G314"/>
      <c r="H314"/>
      <c r="I314"/>
      <c r="J314" s="14"/>
    </row>
    <row r="315" spans="1:10" ht="12.75">
      <c r="A315"/>
      <c r="B315"/>
      <c r="C315"/>
      <c r="G315"/>
      <c r="H315"/>
      <c r="I315"/>
      <c r="J315" s="14"/>
    </row>
    <row r="316" spans="1:10" ht="12.75">
      <c r="A316"/>
      <c r="B316"/>
      <c r="C316"/>
      <c r="G316"/>
      <c r="H316"/>
      <c r="I316"/>
      <c r="J316" s="14"/>
    </row>
    <row r="317" spans="1:10" ht="12.75">
      <c r="A317"/>
      <c r="B317"/>
      <c r="C317"/>
      <c r="G317"/>
      <c r="H317"/>
      <c r="I317"/>
      <c r="J317" s="14"/>
    </row>
    <row r="318" spans="1:10" ht="12.75">
      <c r="A318"/>
      <c r="B318"/>
      <c r="C318"/>
      <c r="G318"/>
      <c r="H318"/>
      <c r="I318"/>
      <c r="J318" s="14"/>
    </row>
    <row r="319" spans="1:10" ht="12.75">
      <c r="A319"/>
      <c r="B319"/>
      <c r="C319"/>
      <c r="G319"/>
      <c r="H319"/>
      <c r="I319"/>
      <c r="J319" s="14"/>
    </row>
    <row r="320" spans="1:10" ht="12.75">
      <c r="A320"/>
      <c r="B320"/>
      <c r="C320"/>
      <c r="G320"/>
      <c r="H320"/>
      <c r="I320"/>
      <c r="J320" s="14"/>
    </row>
    <row r="321" spans="1:10" ht="12.75">
      <c r="A321"/>
      <c r="B321"/>
      <c r="C321"/>
      <c r="G321"/>
      <c r="H321"/>
      <c r="I321"/>
      <c r="J321" s="14"/>
    </row>
    <row r="322" spans="1:10" ht="12.75">
      <c r="A322"/>
      <c r="B322"/>
      <c r="C322"/>
      <c r="G322"/>
      <c r="H322"/>
      <c r="I322"/>
      <c r="J322" s="14"/>
    </row>
    <row r="323" spans="1:10" ht="12.75">
      <c r="A323"/>
      <c r="B323"/>
      <c r="C323"/>
      <c r="G323"/>
      <c r="H323"/>
      <c r="I323"/>
      <c r="J323" s="14"/>
    </row>
    <row r="324" spans="1:10" ht="12.75">
      <c r="A324"/>
      <c r="B324"/>
      <c r="C324"/>
      <c r="G324"/>
      <c r="H324"/>
      <c r="I324"/>
      <c r="J324" s="14"/>
    </row>
    <row r="325" spans="1:10" ht="12.75">
      <c r="A325"/>
      <c r="B325"/>
      <c r="C325"/>
      <c r="G325"/>
      <c r="H325"/>
      <c r="I325"/>
      <c r="J325" s="14"/>
    </row>
    <row r="326" spans="1:10" ht="12.75">
      <c r="A326"/>
      <c r="B326"/>
      <c r="C326"/>
      <c r="G326"/>
      <c r="H326"/>
      <c r="I326"/>
      <c r="J326" s="14"/>
    </row>
    <row r="327" spans="1:10" ht="12.75">
      <c r="A327"/>
      <c r="B327"/>
      <c r="C327"/>
      <c r="G327"/>
      <c r="H327"/>
      <c r="I327"/>
      <c r="J327" s="14"/>
    </row>
    <row r="328" spans="1:10" ht="12.75">
      <c r="A328"/>
      <c r="B328"/>
      <c r="C328"/>
      <c r="G328"/>
      <c r="H328"/>
      <c r="I328"/>
      <c r="J328" s="14"/>
    </row>
    <row r="329" spans="1:10" ht="12.75">
      <c r="A329"/>
      <c r="B329"/>
      <c r="C329"/>
      <c r="G329"/>
      <c r="H329"/>
      <c r="I329"/>
      <c r="J329" s="14"/>
    </row>
    <row r="330" spans="1:10" ht="12.75">
      <c r="A330"/>
      <c r="B330"/>
      <c r="C330"/>
      <c r="G330"/>
      <c r="H330"/>
      <c r="I330"/>
      <c r="J330" s="14"/>
    </row>
    <row r="331" spans="1:10" ht="12.75">
      <c r="A331"/>
      <c r="B331"/>
      <c r="C331"/>
      <c r="G331"/>
      <c r="H331"/>
      <c r="I331"/>
      <c r="J331" s="14"/>
    </row>
    <row r="332" spans="1:10" ht="12.75">
      <c r="A332"/>
      <c r="B332"/>
      <c r="C332"/>
      <c r="G332"/>
      <c r="H332"/>
      <c r="I332"/>
      <c r="J332" s="14"/>
    </row>
    <row r="333" spans="1:10" ht="12.75">
      <c r="A333"/>
      <c r="B333"/>
      <c r="C333"/>
      <c r="G333"/>
      <c r="H333"/>
      <c r="I333"/>
      <c r="J333" s="14"/>
    </row>
    <row r="334" spans="1:10" ht="12.75">
      <c r="A334"/>
      <c r="B334"/>
      <c r="C334"/>
      <c r="G334"/>
      <c r="H334"/>
      <c r="I334"/>
      <c r="J334" s="14"/>
    </row>
    <row r="335" spans="1:10" ht="12.75">
      <c r="A335"/>
      <c r="B335"/>
      <c r="C335"/>
      <c r="G335"/>
      <c r="H335"/>
      <c r="I335"/>
      <c r="J335" s="14"/>
    </row>
    <row r="336" spans="1:10" ht="12.75">
      <c r="A336"/>
      <c r="B336"/>
      <c r="C336"/>
      <c r="G336"/>
      <c r="H336"/>
      <c r="I336"/>
      <c r="J336" s="14"/>
    </row>
    <row r="337" spans="1:10" ht="12.75">
      <c r="A337"/>
      <c r="B337"/>
      <c r="C337"/>
      <c r="G337"/>
      <c r="H337"/>
      <c r="I337"/>
      <c r="J337" s="14"/>
    </row>
    <row r="338" spans="1:10" ht="12.75">
      <c r="A338"/>
      <c r="B338"/>
      <c r="C338"/>
      <c r="G338"/>
      <c r="H338"/>
      <c r="I338"/>
      <c r="J338" s="14"/>
    </row>
    <row r="339" spans="1:10" ht="12.75">
      <c r="A339"/>
      <c r="B339"/>
      <c r="C339"/>
      <c r="G339"/>
      <c r="H339"/>
      <c r="I339"/>
      <c r="J339" s="14"/>
    </row>
    <row r="340" spans="1:10" ht="12.75">
      <c r="A340"/>
      <c r="B340"/>
      <c r="C340"/>
      <c r="G340"/>
      <c r="H340"/>
      <c r="I340"/>
      <c r="J340" s="14"/>
    </row>
    <row r="341" spans="1:10" ht="12.75">
      <c r="A341"/>
      <c r="B341"/>
      <c r="C341"/>
      <c r="G341"/>
      <c r="H341"/>
      <c r="I341"/>
      <c r="J341" s="14"/>
    </row>
    <row r="342" spans="1:10" ht="12.75">
      <c r="A342"/>
      <c r="B342"/>
      <c r="C342"/>
      <c r="G342"/>
      <c r="H342"/>
      <c r="I342"/>
      <c r="J342" s="14"/>
    </row>
    <row r="343" spans="1:10" ht="12.75">
      <c r="A343"/>
      <c r="B343"/>
      <c r="C343"/>
      <c r="G343"/>
      <c r="H343"/>
      <c r="I343"/>
      <c r="J343" s="14"/>
    </row>
    <row r="344" spans="1:10" ht="12.75">
      <c r="A344"/>
      <c r="B344"/>
      <c r="C344"/>
      <c r="G344"/>
      <c r="H344"/>
      <c r="I344"/>
      <c r="J344" s="14"/>
    </row>
    <row r="345" spans="1:10" ht="12.75">
      <c r="A345"/>
      <c r="B345"/>
      <c r="C345"/>
      <c r="G345"/>
      <c r="H345"/>
      <c r="I345"/>
      <c r="J345" s="14"/>
    </row>
    <row r="346" spans="1:10" ht="12.75">
      <c r="A346"/>
      <c r="B346"/>
      <c r="C346"/>
      <c r="G346"/>
      <c r="H346"/>
      <c r="I346"/>
      <c r="J346" s="14"/>
    </row>
    <row r="347" spans="1:10" ht="12.75">
      <c r="A347"/>
      <c r="B347"/>
      <c r="C347"/>
      <c r="G347"/>
      <c r="H347"/>
      <c r="I347"/>
      <c r="J347" s="14"/>
    </row>
    <row r="348" spans="1:10" ht="12.75">
      <c r="A348"/>
      <c r="B348"/>
      <c r="C348"/>
      <c r="G348"/>
      <c r="H348"/>
      <c r="I348"/>
      <c r="J348" s="14"/>
    </row>
    <row r="349" spans="1:10" ht="12.75">
      <c r="A349"/>
      <c r="B349"/>
      <c r="C349"/>
      <c r="G349"/>
      <c r="H349"/>
      <c r="I349"/>
      <c r="J349" s="14"/>
    </row>
    <row r="350" spans="1:10" ht="12.75">
      <c r="A350"/>
      <c r="B350"/>
      <c r="C350"/>
      <c r="G350"/>
      <c r="H350"/>
      <c r="I350"/>
      <c r="J350" s="14"/>
    </row>
    <row r="351" spans="1:10" ht="12.75">
      <c r="A351"/>
      <c r="B351"/>
      <c r="C351"/>
      <c r="G351"/>
      <c r="H351"/>
      <c r="I351"/>
      <c r="J351" s="14"/>
    </row>
    <row r="352" spans="1:10" ht="12.75">
      <c r="A352"/>
      <c r="B352"/>
      <c r="C352"/>
      <c r="G352"/>
      <c r="H352"/>
      <c r="I352"/>
      <c r="J352" s="14"/>
    </row>
    <row r="353" spans="1:10" ht="12.75">
      <c r="A353"/>
      <c r="B353"/>
      <c r="C353"/>
      <c r="G353"/>
      <c r="H353"/>
      <c r="I353"/>
      <c r="J353" s="14"/>
    </row>
    <row r="354" spans="1:10" ht="12.75">
      <c r="A354"/>
      <c r="B354"/>
      <c r="C354"/>
      <c r="G354"/>
      <c r="H354"/>
      <c r="I354"/>
      <c r="J354" s="14"/>
    </row>
    <row r="355" spans="1:10" ht="12.75">
      <c r="A355"/>
      <c r="B355"/>
      <c r="C355"/>
      <c r="G355"/>
      <c r="H355"/>
      <c r="I355"/>
      <c r="J355" s="14"/>
    </row>
    <row r="356" spans="1:10" ht="12.75">
      <c r="A356"/>
      <c r="B356"/>
      <c r="C356"/>
      <c r="G356"/>
      <c r="H356"/>
      <c r="I356"/>
      <c r="J356" s="14"/>
    </row>
    <row r="357" spans="1:10" ht="12.75">
      <c r="A357"/>
      <c r="B357"/>
      <c r="C357"/>
      <c r="G357"/>
      <c r="H357"/>
      <c r="I357"/>
      <c r="J357" s="14"/>
    </row>
    <row r="358" spans="1:10" ht="12.75">
      <c r="A358"/>
      <c r="B358"/>
      <c r="C358"/>
      <c r="G358"/>
      <c r="H358"/>
      <c r="I358"/>
      <c r="J358" s="14"/>
    </row>
    <row r="359" spans="1:10" ht="12.75">
      <c r="A359"/>
      <c r="B359"/>
      <c r="C359"/>
      <c r="G359"/>
      <c r="H359"/>
      <c r="I359"/>
      <c r="J359" s="14"/>
    </row>
    <row r="360" spans="1:10" ht="12.75">
      <c r="A360"/>
      <c r="B360"/>
      <c r="C360"/>
      <c r="G360"/>
      <c r="H360"/>
      <c r="I360"/>
      <c r="J360" s="14"/>
    </row>
    <row r="361" spans="1:10" ht="12.75">
      <c r="A361"/>
      <c r="B361"/>
      <c r="C361"/>
      <c r="G361"/>
      <c r="H361"/>
      <c r="I361"/>
      <c r="J361" s="14"/>
    </row>
    <row r="362" spans="1:10" ht="12.75">
      <c r="A362"/>
      <c r="B362"/>
      <c r="C362"/>
      <c r="G362"/>
      <c r="H362"/>
      <c r="I362"/>
      <c r="J362" s="14"/>
    </row>
    <row r="363" spans="1:10" ht="12.75">
      <c r="A363"/>
      <c r="B363"/>
      <c r="C363"/>
      <c r="G363"/>
      <c r="H363"/>
      <c r="I363"/>
      <c r="J363" s="14"/>
    </row>
    <row r="364" spans="1:10" ht="12.75">
      <c r="A364"/>
      <c r="B364"/>
      <c r="C364"/>
      <c r="G364"/>
      <c r="H364"/>
      <c r="I364"/>
      <c r="J364" s="14"/>
    </row>
    <row r="365" spans="1:10" ht="12.75">
      <c r="A365"/>
      <c r="B365"/>
      <c r="C365"/>
      <c r="G365"/>
      <c r="H365"/>
      <c r="I365"/>
      <c r="J365" s="14"/>
    </row>
    <row r="366" spans="1:10" ht="12.75">
      <c r="A366"/>
      <c r="B366"/>
      <c r="C366"/>
      <c r="G366"/>
      <c r="H366"/>
      <c r="I366"/>
      <c r="J366" s="14"/>
    </row>
    <row r="367" spans="1:10" ht="12.75">
      <c r="A367"/>
      <c r="B367"/>
      <c r="C367"/>
      <c r="G367"/>
      <c r="H367"/>
      <c r="I367"/>
      <c r="J367" s="14"/>
    </row>
    <row r="368" spans="1:10" ht="12.75">
      <c r="A368"/>
      <c r="B368"/>
      <c r="C368"/>
      <c r="G368"/>
      <c r="H368"/>
      <c r="I368"/>
      <c r="J368" s="14"/>
    </row>
    <row r="369" spans="1:10" ht="12.75">
      <c r="A369"/>
      <c r="B369"/>
      <c r="C369"/>
      <c r="G369"/>
      <c r="H369"/>
      <c r="I369"/>
      <c r="J369" s="14"/>
    </row>
    <row r="370" spans="1:10" ht="12.75">
      <c r="A370"/>
      <c r="B370"/>
      <c r="C370"/>
      <c r="G370"/>
      <c r="H370"/>
      <c r="I370"/>
      <c r="J370" s="14"/>
    </row>
    <row r="371" spans="1:10" ht="12.75">
      <c r="A371"/>
      <c r="B371"/>
      <c r="C371"/>
      <c r="G371"/>
      <c r="H371"/>
      <c r="I371"/>
      <c r="J371" s="14"/>
    </row>
    <row r="372" spans="1:10" ht="12.75">
      <c r="A372"/>
      <c r="B372"/>
      <c r="C372"/>
      <c r="G372"/>
      <c r="H372"/>
      <c r="I372"/>
      <c r="J372" s="14"/>
    </row>
    <row r="373" spans="1:10" ht="12.75">
      <c r="A373"/>
      <c r="B373"/>
      <c r="C373"/>
      <c r="G373"/>
      <c r="H373"/>
      <c r="I373"/>
      <c r="J373" s="14"/>
    </row>
    <row r="374" spans="1:10" ht="12.75">
      <c r="A374"/>
      <c r="B374"/>
      <c r="C374"/>
      <c r="G374"/>
      <c r="H374"/>
      <c r="I374"/>
      <c r="J374" s="14"/>
    </row>
    <row r="375" spans="1:10" ht="12.75">
      <c r="A375"/>
      <c r="B375"/>
      <c r="C375"/>
      <c r="G375"/>
      <c r="H375"/>
      <c r="I375"/>
      <c r="J375" s="14"/>
    </row>
    <row r="376" spans="1:10" ht="12.75">
      <c r="A376"/>
      <c r="B376"/>
      <c r="C376"/>
      <c r="G376"/>
      <c r="H376"/>
      <c r="I376"/>
      <c r="J376" s="14"/>
    </row>
    <row r="377" spans="1:10" ht="12.75">
      <c r="A377"/>
      <c r="B377"/>
      <c r="C377"/>
      <c r="G377"/>
      <c r="H377"/>
      <c r="I377"/>
      <c r="J377" s="14"/>
    </row>
    <row r="378" spans="1:10" ht="12.75">
      <c r="A378"/>
      <c r="B378"/>
      <c r="C378"/>
      <c r="G378"/>
      <c r="H378"/>
      <c r="I378"/>
      <c r="J378" s="14"/>
    </row>
    <row r="379" spans="1:10" ht="12.75">
      <c r="A379"/>
      <c r="B379"/>
      <c r="C379"/>
      <c r="G379"/>
      <c r="H379"/>
      <c r="I379"/>
      <c r="J379" s="14"/>
    </row>
    <row r="380" spans="1:10" ht="12.75">
      <c r="A380"/>
      <c r="B380"/>
      <c r="C380"/>
      <c r="G380"/>
      <c r="H380"/>
      <c r="I380"/>
      <c r="J380" s="14"/>
    </row>
    <row r="381" spans="1:10" ht="12.75">
      <c r="A381"/>
      <c r="B381"/>
      <c r="C381"/>
      <c r="G381"/>
      <c r="H381"/>
      <c r="I381"/>
      <c r="J381" s="14"/>
    </row>
    <row r="382" spans="1:10" ht="12.75">
      <c r="A382"/>
      <c r="B382"/>
      <c r="C382"/>
      <c r="G382"/>
      <c r="H382"/>
      <c r="I382"/>
      <c r="J382" s="14"/>
    </row>
    <row r="383" spans="1:10" ht="12.75">
      <c r="A383"/>
      <c r="B383"/>
      <c r="C383"/>
      <c r="G383"/>
      <c r="H383"/>
      <c r="I383"/>
      <c r="J383" s="14"/>
    </row>
    <row r="384" spans="1:10" ht="12.75">
      <c r="A384"/>
      <c r="B384"/>
      <c r="C384"/>
      <c r="G384"/>
      <c r="H384"/>
      <c r="I384"/>
      <c r="J384" s="14"/>
    </row>
    <row r="385" spans="1:10" ht="12.75">
      <c r="A385"/>
      <c r="B385"/>
      <c r="C385"/>
      <c r="G385"/>
      <c r="H385"/>
      <c r="I385"/>
      <c r="J385" s="14"/>
    </row>
    <row r="386" spans="1:10" ht="12.75">
      <c r="A386"/>
      <c r="B386"/>
      <c r="C386"/>
      <c r="G386"/>
      <c r="H386"/>
      <c r="I386"/>
      <c r="J386" s="14"/>
    </row>
    <row r="387" spans="1:10" ht="12.75">
      <c r="A387"/>
      <c r="B387"/>
      <c r="C387"/>
      <c r="G387"/>
      <c r="H387"/>
      <c r="I387"/>
      <c r="J387" s="14"/>
    </row>
    <row r="388" spans="1:10" ht="12.75">
      <c r="A388"/>
      <c r="B388"/>
      <c r="C388"/>
      <c r="G388"/>
      <c r="H388"/>
      <c r="I388"/>
      <c r="J388" s="14"/>
    </row>
    <row r="389" spans="1:10" ht="12.75">
      <c r="A389"/>
      <c r="B389"/>
      <c r="C389"/>
      <c r="G389"/>
      <c r="H389"/>
      <c r="I389"/>
      <c r="J389" s="14"/>
    </row>
    <row r="390" spans="1:10" ht="12.75">
      <c r="A390"/>
      <c r="B390"/>
      <c r="C390"/>
      <c r="G390"/>
      <c r="H390"/>
      <c r="I390"/>
      <c r="J390" s="14"/>
    </row>
    <row r="391" spans="1:10" ht="12.75">
      <c r="A391"/>
      <c r="B391"/>
      <c r="C391"/>
      <c r="G391"/>
      <c r="H391"/>
      <c r="I391"/>
      <c r="J391" s="14"/>
    </row>
    <row r="392" spans="1:10" ht="12.75">
      <c r="A392"/>
      <c r="B392"/>
      <c r="C392"/>
      <c r="G392"/>
      <c r="H392"/>
      <c r="I392"/>
      <c r="J392" s="14"/>
    </row>
    <row r="393" spans="1:10" ht="12.75">
      <c r="A393"/>
      <c r="B393"/>
      <c r="C393"/>
      <c r="G393"/>
      <c r="H393"/>
      <c r="I393"/>
      <c r="J393" s="14"/>
    </row>
    <row r="394" spans="1:10" ht="12.75">
      <c r="A394"/>
      <c r="B394"/>
      <c r="C394"/>
      <c r="G394"/>
      <c r="H394"/>
      <c r="I394"/>
      <c r="J394" s="14"/>
    </row>
    <row r="395" spans="1:10" ht="12.75">
      <c r="A395"/>
      <c r="B395"/>
      <c r="C395"/>
      <c r="G395"/>
      <c r="H395"/>
      <c r="I395"/>
      <c r="J395" s="14"/>
    </row>
    <row r="396" spans="1:10" ht="12.75">
      <c r="A396"/>
      <c r="B396"/>
      <c r="C396"/>
      <c r="G396"/>
      <c r="H396"/>
      <c r="I396"/>
      <c r="J396" s="14"/>
    </row>
    <row r="397" spans="1:10" ht="12.75">
      <c r="A397"/>
      <c r="B397"/>
      <c r="C397"/>
      <c r="G397"/>
      <c r="H397"/>
      <c r="I397"/>
      <c r="J397" s="14"/>
    </row>
    <row r="398" spans="1:10" ht="12.75">
      <c r="A398"/>
      <c r="B398"/>
      <c r="C398"/>
      <c r="G398"/>
      <c r="H398"/>
      <c r="I398"/>
      <c r="J398" s="14"/>
    </row>
    <row r="399" spans="1:10" ht="12.75">
      <c r="A399"/>
      <c r="B399"/>
      <c r="C399"/>
      <c r="G399"/>
      <c r="H399"/>
      <c r="I399"/>
      <c r="J399" s="14"/>
    </row>
    <row r="400" spans="1:10" ht="12.75">
      <c r="A400"/>
      <c r="B400"/>
      <c r="C400"/>
      <c r="G400"/>
      <c r="H400"/>
      <c r="I400"/>
      <c r="J400" s="14"/>
    </row>
    <row r="401" spans="1:10" ht="12.75">
      <c r="A401"/>
      <c r="B401"/>
      <c r="C401"/>
      <c r="G401"/>
      <c r="H401"/>
      <c r="I401"/>
      <c r="J401" s="14"/>
    </row>
    <row r="402" spans="1:10" ht="12.75">
      <c r="A402"/>
      <c r="B402"/>
      <c r="C402"/>
      <c r="G402"/>
      <c r="H402"/>
      <c r="I402"/>
      <c r="J402" s="14"/>
    </row>
    <row r="403" spans="1:10" ht="12.75">
      <c r="A403"/>
      <c r="B403"/>
      <c r="C403"/>
      <c r="G403"/>
      <c r="H403"/>
      <c r="I403"/>
      <c r="J403" s="14"/>
    </row>
    <row r="404" spans="1:10" ht="12.75">
      <c r="A404"/>
      <c r="B404"/>
      <c r="C404"/>
      <c r="G404"/>
      <c r="H404"/>
      <c r="I404"/>
      <c r="J404" s="14"/>
    </row>
    <row r="405" spans="1:10" ht="12.75">
      <c r="A405"/>
      <c r="B405"/>
      <c r="C405"/>
      <c r="G405"/>
      <c r="H405"/>
      <c r="I405"/>
      <c r="J405" s="14"/>
    </row>
    <row r="406" spans="1:10" ht="12.75">
      <c r="A406"/>
      <c r="B406"/>
      <c r="C406"/>
      <c r="G406"/>
      <c r="H406"/>
      <c r="I406"/>
      <c r="J406" s="14"/>
    </row>
    <row r="407" spans="1:10" ht="12.75">
      <c r="A407"/>
      <c r="B407"/>
      <c r="C407"/>
      <c r="G407"/>
      <c r="H407"/>
      <c r="I407"/>
      <c r="J407" s="14"/>
    </row>
    <row r="408" spans="1:10" ht="12.75">
      <c r="A408"/>
      <c r="B408"/>
      <c r="C408"/>
      <c r="G408"/>
      <c r="H408"/>
      <c r="I408"/>
      <c r="J408" s="14"/>
    </row>
    <row r="409" spans="1:10" ht="12.75">
      <c r="A409"/>
      <c r="B409"/>
      <c r="C409"/>
      <c r="G409"/>
      <c r="H409"/>
      <c r="I409"/>
      <c r="J409" s="14"/>
    </row>
    <row r="410" spans="1:10" ht="12.75">
      <c r="A410"/>
      <c r="B410"/>
      <c r="C410"/>
      <c r="G410"/>
      <c r="H410"/>
      <c r="I410"/>
      <c r="J410" s="14"/>
    </row>
    <row r="411" spans="1:10" ht="12.75">
      <c r="A411"/>
      <c r="B411"/>
      <c r="C411"/>
      <c r="G411"/>
      <c r="H411"/>
      <c r="I411"/>
      <c r="J411" s="14"/>
    </row>
    <row r="412" spans="1:10" ht="12.75">
      <c r="A412"/>
      <c r="B412"/>
      <c r="C412"/>
      <c r="G412"/>
      <c r="H412"/>
      <c r="I412"/>
      <c r="J412" s="14"/>
    </row>
    <row r="413" spans="1:10" ht="12.75">
      <c r="A413"/>
      <c r="B413"/>
      <c r="C413"/>
      <c r="G413"/>
      <c r="H413"/>
      <c r="I413"/>
      <c r="J413" s="14"/>
    </row>
    <row r="414" spans="1:10" ht="12.75">
      <c r="A414"/>
      <c r="B414"/>
      <c r="C414"/>
      <c r="G414"/>
      <c r="H414"/>
      <c r="I414"/>
      <c r="J414" s="14"/>
    </row>
    <row r="415" spans="1:10" ht="12.75">
      <c r="A415"/>
      <c r="B415"/>
      <c r="C415"/>
      <c r="G415"/>
      <c r="H415"/>
      <c r="I415"/>
      <c r="J415" s="14"/>
    </row>
    <row r="416" spans="1:10" ht="12.75">
      <c r="A416"/>
      <c r="B416"/>
      <c r="C416"/>
      <c r="G416"/>
      <c r="H416"/>
      <c r="I416"/>
      <c r="J416" s="14"/>
    </row>
    <row r="417" spans="1:10" ht="12.75">
      <c r="A417"/>
      <c r="B417"/>
      <c r="C417"/>
      <c r="G417"/>
      <c r="H417"/>
      <c r="I417"/>
      <c r="J417" s="14"/>
    </row>
    <row r="418" spans="1:10" ht="12.75">
      <c r="A418"/>
      <c r="B418"/>
      <c r="C418"/>
      <c r="G418"/>
      <c r="H418"/>
      <c r="I418"/>
      <c r="J418" s="14"/>
    </row>
    <row r="419" spans="1:10" ht="12.75">
      <c r="A419"/>
      <c r="B419"/>
      <c r="C419"/>
      <c r="G419"/>
      <c r="H419"/>
      <c r="I419"/>
      <c r="J419" s="14"/>
    </row>
    <row r="420" spans="1:10" ht="12.75">
      <c r="A420"/>
      <c r="B420"/>
      <c r="C420"/>
      <c r="G420"/>
      <c r="H420"/>
      <c r="I420"/>
      <c r="J420" s="14"/>
    </row>
    <row r="421" spans="1:10" ht="12.75">
      <c r="A421"/>
      <c r="B421"/>
      <c r="C421"/>
      <c r="G421"/>
      <c r="H421"/>
      <c r="I421"/>
      <c r="J421" s="14"/>
    </row>
    <row r="422" spans="1:10" ht="12.75">
      <c r="A422"/>
      <c r="B422"/>
      <c r="C422"/>
      <c r="G422"/>
      <c r="H422"/>
      <c r="I422"/>
      <c r="J422" s="14"/>
    </row>
    <row r="423" spans="1:10" ht="12.75">
      <c r="A423"/>
      <c r="B423"/>
      <c r="C423"/>
      <c r="G423"/>
      <c r="H423"/>
      <c r="I423"/>
      <c r="J423" s="14"/>
    </row>
    <row r="424" spans="1:10" ht="12.75">
      <c r="A424"/>
      <c r="B424"/>
      <c r="C424"/>
      <c r="G424"/>
      <c r="H424"/>
      <c r="I424"/>
      <c r="J424" s="14"/>
    </row>
    <row r="425" spans="1:10" ht="12.75">
      <c r="A425"/>
      <c r="B425"/>
      <c r="C425"/>
      <c r="G425"/>
      <c r="H425"/>
      <c r="I425"/>
      <c r="J425" s="14"/>
    </row>
    <row r="426" spans="1:10" ht="12.75">
      <c r="A426"/>
      <c r="B426"/>
      <c r="C426"/>
      <c r="G426"/>
      <c r="H426"/>
      <c r="I426"/>
      <c r="J426" s="14"/>
    </row>
    <row r="427" spans="1:10" ht="12.75">
      <c r="A427"/>
      <c r="B427"/>
      <c r="C427"/>
      <c r="G427"/>
      <c r="H427"/>
      <c r="I427"/>
      <c r="J427" s="14"/>
    </row>
    <row r="428" spans="1:10" ht="12.75">
      <c r="A428"/>
      <c r="B428"/>
      <c r="C428"/>
      <c r="G428"/>
      <c r="H428"/>
      <c r="I428"/>
      <c r="J428" s="14"/>
    </row>
    <row r="429" spans="1:10" ht="12.75">
      <c r="A429"/>
      <c r="B429"/>
      <c r="C429"/>
      <c r="G429"/>
      <c r="H429"/>
      <c r="I429"/>
      <c r="J429" s="14"/>
    </row>
    <row r="430" spans="1:10" ht="12.75">
      <c r="A430"/>
      <c r="B430"/>
      <c r="C430"/>
      <c r="G430"/>
      <c r="H430"/>
      <c r="I430"/>
      <c r="J430" s="14"/>
    </row>
    <row r="431" spans="1:10" ht="12.75">
      <c r="A431"/>
      <c r="B431"/>
      <c r="C431"/>
      <c r="G431"/>
      <c r="H431"/>
      <c r="I431"/>
      <c r="J431" s="14"/>
    </row>
    <row r="432" spans="1:10" ht="12.75">
      <c r="A432"/>
      <c r="B432"/>
      <c r="C432"/>
      <c r="G432"/>
      <c r="H432"/>
      <c r="I432"/>
      <c r="J432" s="14"/>
    </row>
    <row r="433" spans="1:10" ht="12.75">
      <c r="A433"/>
      <c r="B433"/>
      <c r="C433"/>
      <c r="G433"/>
      <c r="H433"/>
      <c r="I433"/>
      <c r="J433" s="14"/>
    </row>
    <row r="434" spans="1:10" ht="12.75">
      <c r="A434"/>
      <c r="B434"/>
      <c r="C434"/>
      <c r="G434"/>
      <c r="H434"/>
      <c r="I434"/>
      <c r="J434" s="14"/>
    </row>
    <row r="435" spans="1:10" ht="12.75">
      <c r="A435"/>
      <c r="B435"/>
      <c r="C435"/>
      <c r="G435"/>
      <c r="H435"/>
      <c r="I435"/>
      <c r="J435" s="14"/>
    </row>
  </sheetData>
  <mergeCells count="2">
    <mergeCell ref="B5:C5"/>
    <mergeCell ref="A1:H1"/>
  </mergeCells>
  <printOptions/>
  <pageMargins left="0.39" right="0.49" top="0.43" bottom="0.17" header="0.62" footer="0.5118110236220472"/>
  <pageSetup horizontalDpi="600" verticalDpi="600" orientation="portrait" paperSize="9" scale="75" r:id="rId1"/>
  <headerFooter alignWithMargins="0">
    <oddHeader>&amp;C&amp;A</oddHeader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6"/>
  <sheetViews>
    <sheetView zoomScale="53" zoomScaleNormal="53" zoomScaleSheetLayoutView="35" workbookViewId="0" topLeftCell="A1">
      <pane ySplit="24" topLeftCell="BM25" activePane="bottomLeft" state="frozen"/>
      <selection pane="topLeft" activeCell="C142" sqref="C142"/>
      <selection pane="bottomLeft" activeCell="J23" sqref="J23"/>
    </sheetView>
  </sheetViews>
  <sheetFormatPr defaultColWidth="45.140625" defaultRowHeight="12.75"/>
  <cols>
    <col min="1" max="1" width="22.28125" style="240" customWidth="1"/>
    <col min="2" max="2" width="19.00390625" style="240" customWidth="1"/>
    <col min="3" max="3" width="30.57421875" style="240" customWidth="1"/>
    <col min="4" max="4" width="25.57421875" style="240" customWidth="1"/>
    <col min="5" max="5" width="31.28125" style="240" customWidth="1"/>
    <col min="6" max="6" width="36.8515625" style="240" customWidth="1"/>
    <col min="7" max="7" width="38.28125" style="240" customWidth="1"/>
    <col min="8" max="8" width="36.8515625" style="240" customWidth="1"/>
    <col min="9" max="9" width="28.7109375" style="240" customWidth="1"/>
    <col min="10" max="10" width="29.28125" style="240" customWidth="1"/>
    <col min="11" max="11" width="27.57421875" style="240" customWidth="1"/>
    <col min="12" max="16384" width="45.140625" style="240" customWidth="1"/>
  </cols>
  <sheetData>
    <row r="1" spans="1:11" s="231" customFormat="1" ht="24.75" customHeight="1">
      <c r="A1" s="236" t="s">
        <v>364</v>
      </c>
      <c r="B1" s="237"/>
      <c r="C1" s="237"/>
      <c r="D1" s="237"/>
      <c r="E1" s="237"/>
      <c r="F1" s="237"/>
      <c r="G1" s="230"/>
      <c r="H1" s="237"/>
      <c r="I1" s="237"/>
      <c r="J1" s="237"/>
      <c r="K1" s="230"/>
    </row>
    <row r="2" spans="1:11" ht="19.5" customHeight="1">
      <c r="A2" s="232"/>
      <c r="B2" s="238"/>
      <c r="C2" s="238"/>
      <c r="D2" s="238"/>
      <c r="E2" s="238"/>
      <c r="F2" s="238"/>
      <c r="G2" s="239"/>
      <c r="H2" s="238"/>
      <c r="I2" s="238"/>
      <c r="J2" s="238"/>
      <c r="K2" s="238"/>
    </row>
    <row r="3" spans="1:11" s="247" customFormat="1" ht="19.5" customHeight="1">
      <c r="A3" s="241" t="s">
        <v>365</v>
      </c>
      <c r="B3" s="242"/>
      <c r="C3" s="243" t="s">
        <v>366</v>
      </c>
      <c r="D3" s="244">
        <v>40544</v>
      </c>
      <c r="E3" s="245">
        <v>44561</v>
      </c>
      <c r="F3" s="246" t="s">
        <v>367</v>
      </c>
      <c r="H3" s="242"/>
      <c r="I3" s="242"/>
      <c r="J3" s="242"/>
      <c r="K3" s="248"/>
    </row>
    <row r="4" spans="1:11" s="247" customFormat="1" ht="19.5" customHeight="1">
      <c r="A4" s="249"/>
      <c r="B4" s="248"/>
      <c r="C4" s="249"/>
      <c r="D4" s="250"/>
      <c r="E4" s="250"/>
      <c r="F4" s="251" t="s">
        <v>368</v>
      </c>
      <c r="H4" s="242"/>
      <c r="I4" s="242"/>
      <c r="J4" s="242"/>
      <c r="K4" s="248"/>
    </row>
    <row r="5" spans="1:11" s="247" customFormat="1" ht="19.5" customHeight="1">
      <c r="A5" s="249"/>
      <c r="B5" s="248"/>
      <c r="C5" s="252"/>
      <c r="D5" s="248"/>
      <c r="E5" s="248"/>
      <c r="F5" s="251"/>
      <c r="H5" s="242"/>
      <c r="I5" s="242"/>
      <c r="J5" s="242"/>
      <c r="K5" s="248"/>
    </row>
    <row r="6" spans="1:11" s="261" customFormat="1" ht="19.5" customHeight="1">
      <c r="A6" s="253" t="s">
        <v>369</v>
      </c>
      <c r="B6" s="254"/>
      <c r="C6" s="255">
        <v>260000</v>
      </c>
      <c r="D6" s="259" t="s">
        <v>211</v>
      </c>
      <c r="E6" s="260"/>
      <c r="F6" s="251" t="s">
        <v>370</v>
      </c>
      <c r="H6" s="259"/>
      <c r="I6" s="259"/>
      <c r="J6" s="259"/>
      <c r="K6" s="262"/>
    </row>
    <row r="7" spans="1:11" s="261" customFormat="1" ht="19.5" customHeight="1">
      <c r="A7" s="253"/>
      <c r="B7" s="254"/>
      <c r="C7" s="255"/>
      <c r="D7" s="259"/>
      <c r="E7" s="260"/>
      <c r="F7" s="251" t="s">
        <v>371</v>
      </c>
      <c r="H7" s="259"/>
      <c r="I7" s="259"/>
      <c r="J7" s="259"/>
      <c r="K7" s="262"/>
    </row>
    <row r="8" spans="1:11" s="261" customFormat="1" ht="19.5" customHeight="1">
      <c r="A8" s="253" t="s">
        <v>372</v>
      </c>
      <c r="B8" s="254"/>
      <c r="C8" s="263">
        <v>0.03516</v>
      </c>
      <c r="D8" s="259"/>
      <c r="E8" s="251" t="s">
        <v>373</v>
      </c>
      <c r="F8" s="262"/>
      <c r="G8" s="251"/>
      <c r="H8" s="264"/>
      <c r="I8" s="264"/>
      <c r="J8" s="264"/>
      <c r="K8" s="265"/>
    </row>
    <row r="9" spans="1:11" s="261" customFormat="1" ht="19.5" customHeight="1">
      <c r="A9" s="253"/>
      <c r="B9" s="254"/>
      <c r="C9" s="263"/>
      <c r="D9" s="259"/>
      <c r="E9" s="251" t="s">
        <v>374</v>
      </c>
      <c r="F9" s="262"/>
      <c r="G9" s="242"/>
      <c r="H9" s="264"/>
      <c r="I9" s="264"/>
      <c r="J9" s="264"/>
      <c r="K9" s="265"/>
    </row>
    <row r="10" spans="1:11" s="261" customFormat="1" ht="19.5" customHeight="1">
      <c r="A10" s="266" t="s">
        <v>375</v>
      </c>
      <c r="B10" s="254"/>
      <c r="C10" s="267">
        <v>120</v>
      </c>
      <c r="D10" s="253" t="s">
        <v>376</v>
      </c>
      <c r="E10" s="260"/>
      <c r="F10" s="262"/>
      <c r="K10" s="265"/>
    </row>
    <row r="11" spans="1:11" s="261" customFormat="1" ht="19.5" customHeight="1">
      <c r="A11" s="253" t="s">
        <v>377</v>
      </c>
      <c r="B11" s="254"/>
      <c r="C11" s="267"/>
      <c r="D11" s="253" t="s">
        <v>376</v>
      </c>
      <c r="E11" s="260"/>
      <c r="F11" s="262"/>
      <c r="I11" s="268"/>
      <c r="J11" s="269"/>
      <c r="K11" s="265"/>
    </row>
    <row r="12" spans="1:11" s="261" customFormat="1" ht="19.5" customHeight="1">
      <c r="A12" s="253" t="s">
        <v>378</v>
      </c>
      <c r="B12" s="254"/>
      <c r="C12" s="267">
        <v>120</v>
      </c>
      <c r="D12" s="259"/>
      <c r="K12" s="265"/>
    </row>
    <row r="13" spans="1:11" s="261" customFormat="1" ht="19.5" customHeight="1">
      <c r="A13" s="253" t="s">
        <v>379</v>
      </c>
      <c r="B13" s="254"/>
      <c r="C13" s="270">
        <f>C6/C12</f>
        <v>2166.6666666666665</v>
      </c>
      <c r="D13" s="259" t="s">
        <v>211</v>
      </c>
      <c r="K13" s="265"/>
    </row>
    <row r="14" spans="1:11" s="261" customFormat="1" ht="19.5" customHeight="1">
      <c r="A14" s="271"/>
      <c r="B14" s="254"/>
      <c r="C14" s="270"/>
      <c r="D14" s="260"/>
      <c r="K14" s="262"/>
    </row>
    <row r="15" spans="3:11" s="261" customFormat="1" ht="19.5" customHeight="1">
      <c r="C15" s="272"/>
      <c r="E15" s="273"/>
      <c r="F15" s="274" t="s">
        <v>380</v>
      </c>
      <c r="G15" s="273"/>
      <c r="H15" s="274" t="s">
        <v>380</v>
      </c>
      <c r="K15" s="262"/>
    </row>
    <row r="16" spans="1:11" s="261" customFormat="1" ht="19.5" customHeight="1">
      <c r="A16" s="275"/>
      <c r="B16" s="276"/>
      <c r="C16" s="277"/>
      <c r="D16" s="278"/>
      <c r="E16" s="279" t="s">
        <v>261</v>
      </c>
      <c r="F16" s="280">
        <v>365</v>
      </c>
      <c r="G16" s="279" t="s">
        <v>266</v>
      </c>
      <c r="H16" s="281">
        <v>365</v>
      </c>
      <c r="K16" s="259"/>
    </row>
    <row r="17" spans="1:11" s="261" customFormat="1" ht="19.5" customHeight="1">
      <c r="A17" s="275"/>
      <c r="B17" s="276"/>
      <c r="C17" s="282"/>
      <c r="D17" s="278"/>
      <c r="E17" s="283" t="s">
        <v>262</v>
      </c>
      <c r="F17" s="284">
        <v>365</v>
      </c>
      <c r="G17" s="283" t="s">
        <v>267</v>
      </c>
      <c r="H17" s="281">
        <v>365</v>
      </c>
      <c r="K17" s="259"/>
    </row>
    <row r="18" spans="1:11" s="261" customFormat="1" ht="19.5" customHeight="1">
      <c r="A18" s="253"/>
      <c r="B18" s="254"/>
      <c r="C18" s="285"/>
      <c r="D18" s="278"/>
      <c r="E18" s="283" t="s">
        <v>263</v>
      </c>
      <c r="F18" s="284">
        <v>365</v>
      </c>
      <c r="G18" s="283" t="s">
        <v>268</v>
      </c>
      <c r="H18" s="281">
        <v>366</v>
      </c>
      <c r="I18" s="286"/>
      <c r="J18" s="287"/>
      <c r="K18" s="259"/>
    </row>
    <row r="19" spans="1:11" s="261" customFormat="1" ht="19.5" customHeight="1">
      <c r="A19" s="253"/>
      <c r="B19" s="254"/>
      <c r="C19" s="285"/>
      <c r="D19" s="278"/>
      <c r="E19" s="283" t="s">
        <v>264</v>
      </c>
      <c r="F19" s="284">
        <v>366</v>
      </c>
      <c r="G19" s="283" t="s">
        <v>381</v>
      </c>
      <c r="H19" s="281">
        <v>365</v>
      </c>
      <c r="I19" s="286"/>
      <c r="J19" s="287"/>
      <c r="K19" s="259"/>
    </row>
    <row r="20" spans="1:11" s="261" customFormat="1" ht="19.5" customHeight="1">
      <c r="A20" s="253"/>
      <c r="B20" s="254"/>
      <c r="C20" s="285"/>
      <c r="D20" s="278"/>
      <c r="E20" s="288" t="s">
        <v>265</v>
      </c>
      <c r="F20" s="289">
        <v>365</v>
      </c>
      <c r="G20" s="288" t="s">
        <v>382</v>
      </c>
      <c r="H20" s="290">
        <v>365</v>
      </c>
      <c r="I20" s="286"/>
      <c r="J20" s="287"/>
      <c r="K20" s="259"/>
    </row>
    <row r="21" spans="1:11" s="261" customFormat="1" ht="19.5" customHeight="1">
      <c r="A21" s="253"/>
      <c r="B21" s="254"/>
      <c r="C21" s="291"/>
      <c r="D21" s="292"/>
      <c r="E21" s="293"/>
      <c r="F21" s="262"/>
      <c r="G21" s="286"/>
      <c r="H21" s="287"/>
      <c r="I21" s="294"/>
      <c r="J21" s="294"/>
      <c r="K21" s="259"/>
    </row>
    <row r="22" spans="1:11" s="247" customFormat="1" ht="18" customHeight="1" thickBot="1">
      <c r="A22" s="295"/>
      <c r="B22" s="295"/>
      <c r="C22" s="295"/>
      <c r="D22" s="295"/>
      <c r="E22" s="295"/>
      <c r="F22" s="295"/>
      <c r="G22" s="295"/>
      <c r="H22" s="296" t="s">
        <v>383</v>
      </c>
      <c r="I22" s="295"/>
      <c r="K22" s="295"/>
    </row>
    <row r="23" spans="1:9" s="300" customFormat="1" ht="24" customHeight="1">
      <c r="A23" s="358" t="s">
        <v>384</v>
      </c>
      <c r="B23" s="297" t="s">
        <v>385</v>
      </c>
      <c r="C23" s="297" t="s">
        <v>386</v>
      </c>
      <c r="D23" s="297" t="s">
        <v>385</v>
      </c>
      <c r="E23" s="297" t="s">
        <v>387</v>
      </c>
      <c r="F23" s="297" t="s">
        <v>388</v>
      </c>
      <c r="G23" s="297" t="s">
        <v>389</v>
      </c>
      <c r="H23" s="298" t="s">
        <v>390</v>
      </c>
      <c r="I23" s="299"/>
    </row>
    <row r="24" spans="1:9" s="300" customFormat="1" ht="21.75" customHeight="1">
      <c r="A24" s="359"/>
      <c r="B24" s="301" t="s">
        <v>380</v>
      </c>
      <c r="C24" s="301"/>
      <c r="D24" s="301" t="s">
        <v>391</v>
      </c>
      <c r="E24" s="301" t="s">
        <v>392</v>
      </c>
      <c r="F24" s="301" t="s">
        <v>244</v>
      </c>
      <c r="G24" s="301" t="s">
        <v>393</v>
      </c>
      <c r="H24" s="302" t="s">
        <v>394</v>
      </c>
      <c r="I24" s="299"/>
    </row>
    <row r="25" spans="1:11" s="300" customFormat="1" ht="19.5" customHeight="1">
      <c r="A25" s="303">
        <v>40508</v>
      </c>
      <c r="B25" s="304"/>
      <c r="C25" s="305"/>
      <c r="D25" s="306"/>
      <c r="E25" s="306"/>
      <c r="F25" s="307">
        <v>260000</v>
      </c>
      <c r="G25" s="307"/>
      <c r="H25" s="308"/>
      <c r="I25" s="307"/>
      <c r="J25" s="309"/>
      <c r="K25" s="309"/>
    </row>
    <row r="26" spans="1:11" s="300" customFormat="1" ht="19.5" customHeight="1">
      <c r="A26" s="303">
        <v>40513</v>
      </c>
      <c r="B26" s="304">
        <f aca="true" t="shared" si="0" ref="B26:B57">A26-A25</f>
        <v>5</v>
      </c>
      <c r="C26" s="307">
        <f aca="true" t="shared" si="1" ref="C26:C37">F25*(B26/$F$16)*$C$8</f>
        <v>125.22739726027395</v>
      </c>
      <c r="D26" s="310">
        <v>0</v>
      </c>
      <c r="E26" s="311">
        <f aca="true" t="shared" si="2" ref="E26:E57">IF(OR(D26=1,D26&gt;1),C$13,0)</f>
        <v>0</v>
      </c>
      <c r="F26" s="307">
        <f aca="true" t="shared" si="3" ref="F26:F57">F25-E26</f>
        <v>260000</v>
      </c>
      <c r="G26" s="312">
        <f aca="true" t="shared" si="4" ref="G26:G57">E26+C26</f>
        <v>125.22739726027395</v>
      </c>
      <c r="H26" s="313">
        <v>0</v>
      </c>
      <c r="I26" s="307"/>
      <c r="J26" s="309"/>
      <c r="K26" s="309"/>
    </row>
    <row r="27" spans="1:11" s="300" customFormat="1" ht="21" customHeight="1">
      <c r="A27" s="303">
        <v>40544</v>
      </c>
      <c r="B27" s="304">
        <f t="shared" si="0"/>
        <v>31</v>
      </c>
      <c r="C27" s="307">
        <f t="shared" si="1"/>
        <v>776.4098630136986</v>
      </c>
      <c r="D27" s="310">
        <v>1</v>
      </c>
      <c r="E27" s="311">
        <v>0</v>
      </c>
      <c r="F27" s="307">
        <f t="shared" si="3"/>
        <v>260000</v>
      </c>
      <c r="G27" s="312">
        <f t="shared" si="4"/>
        <v>776.4098630136986</v>
      </c>
      <c r="H27" s="313">
        <v>0</v>
      </c>
      <c r="I27" s="307"/>
      <c r="J27" s="309"/>
      <c r="K27" s="309"/>
    </row>
    <row r="28" spans="1:11" s="300" customFormat="1" ht="21" customHeight="1">
      <c r="A28" s="303">
        <v>40575</v>
      </c>
      <c r="B28" s="304">
        <f t="shared" si="0"/>
        <v>31</v>
      </c>
      <c r="C28" s="307">
        <f t="shared" si="1"/>
        <v>776.4098630136986</v>
      </c>
      <c r="D28" s="310">
        <v>1</v>
      </c>
      <c r="E28" s="311">
        <f t="shared" si="2"/>
        <v>2166.6666666666665</v>
      </c>
      <c r="F28" s="307">
        <f t="shared" si="3"/>
        <v>257833.33333333334</v>
      </c>
      <c r="G28" s="312">
        <f t="shared" si="4"/>
        <v>2943.076529680365</v>
      </c>
      <c r="H28" s="313">
        <v>0</v>
      </c>
      <c r="I28" s="307"/>
      <c r="J28" s="309"/>
      <c r="K28" s="309"/>
    </row>
    <row r="29" spans="1:11" s="315" customFormat="1" ht="21" customHeight="1">
      <c r="A29" s="303">
        <v>40603</v>
      </c>
      <c r="B29" s="304">
        <f t="shared" si="0"/>
        <v>28</v>
      </c>
      <c r="C29" s="307">
        <f t="shared" si="1"/>
        <v>695.4294794520547</v>
      </c>
      <c r="D29" s="310">
        <v>1</v>
      </c>
      <c r="E29" s="311">
        <f t="shared" si="2"/>
        <v>2166.6666666666665</v>
      </c>
      <c r="F29" s="307">
        <f t="shared" si="3"/>
        <v>255666.6666666667</v>
      </c>
      <c r="G29" s="312">
        <f t="shared" si="4"/>
        <v>2862.096146118721</v>
      </c>
      <c r="H29" s="313">
        <v>0</v>
      </c>
      <c r="I29" s="307"/>
      <c r="J29" s="314"/>
      <c r="K29" s="314"/>
    </row>
    <row r="30" spans="1:11" s="300" customFormat="1" ht="21" customHeight="1">
      <c r="A30" s="303">
        <v>40634</v>
      </c>
      <c r="B30" s="304">
        <f t="shared" si="0"/>
        <v>31</v>
      </c>
      <c r="C30" s="307">
        <f t="shared" si="1"/>
        <v>763.4696986301369</v>
      </c>
      <c r="D30" s="310">
        <v>1</v>
      </c>
      <c r="E30" s="311">
        <f t="shared" si="2"/>
        <v>2166.6666666666665</v>
      </c>
      <c r="F30" s="307">
        <f t="shared" si="3"/>
        <v>253500.00000000003</v>
      </c>
      <c r="G30" s="312">
        <f t="shared" si="4"/>
        <v>2930.1363652968034</v>
      </c>
      <c r="H30" s="313">
        <v>0</v>
      </c>
      <c r="I30" s="307"/>
      <c r="J30" s="309"/>
      <c r="K30" s="309"/>
    </row>
    <row r="31" spans="1:11" s="300" customFormat="1" ht="21" customHeight="1">
      <c r="A31" s="303">
        <v>40664</v>
      </c>
      <c r="B31" s="304">
        <f t="shared" si="0"/>
        <v>30</v>
      </c>
      <c r="C31" s="307">
        <f t="shared" si="1"/>
        <v>732.5802739726028</v>
      </c>
      <c r="D31" s="310">
        <v>1</v>
      </c>
      <c r="E31" s="311">
        <f t="shared" si="2"/>
        <v>2166.6666666666665</v>
      </c>
      <c r="F31" s="307">
        <f t="shared" si="3"/>
        <v>251333.33333333337</v>
      </c>
      <c r="G31" s="312">
        <f t="shared" si="4"/>
        <v>2899.2469406392693</v>
      </c>
      <c r="H31" s="313">
        <v>0</v>
      </c>
      <c r="I31" s="307"/>
      <c r="J31" s="309"/>
      <c r="K31" s="309"/>
    </row>
    <row r="32" spans="1:11" s="300" customFormat="1" ht="21" customHeight="1">
      <c r="A32" s="303">
        <v>40695</v>
      </c>
      <c r="B32" s="304">
        <f t="shared" si="0"/>
        <v>31</v>
      </c>
      <c r="C32" s="307">
        <f t="shared" si="1"/>
        <v>750.5295342465754</v>
      </c>
      <c r="D32" s="310">
        <v>1</v>
      </c>
      <c r="E32" s="311">
        <f t="shared" si="2"/>
        <v>2166.6666666666665</v>
      </c>
      <c r="F32" s="307">
        <f t="shared" si="3"/>
        <v>249166.66666666672</v>
      </c>
      <c r="G32" s="312">
        <f t="shared" si="4"/>
        <v>2917.196200913242</v>
      </c>
      <c r="H32" s="313">
        <v>0</v>
      </c>
      <c r="I32" s="307"/>
      <c r="J32" s="309"/>
      <c r="K32" s="309"/>
    </row>
    <row r="33" spans="1:11" s="300" customFormat="1" ht="21" customHeight="1">
      <c r="A33" s="303">
        <v>40725</v>
      </c>
      <c r="B33" s="304">
        <f t="shared" si="0"/>
        <v>30</v>
      </c>
      <c r="C33" s="307">
        <f t="shared" si="1"/>
        <v>720.0575342465754</v>
      </c>
      <c r="D33" s="310">
        <v>1</v>
      </c>
      <c r="E33" s="311">
        <f t="shared" si="2"/>
        <v>2166.6666666666665</v>
      </c>
      <c r="F33" s="307">
        <f t="shared" si="3"/>
        <v>247000.00000000006</v>
      </c>
      <c r="G33" s="312">
        <f t="shared" si="4"/>
        <v>2886.724200913242</v>
      </c>
      <c r="H33" s="313">
        <v>0</v>
      </c>
      <c r="I33" s="307"/>
      <c r="J33" s="309"/>
      <c r="K33" s="309"/>
    </row>
    <row r="34" spans="1:11" s="300" customFormat="1" ht="21" customHeight="1">
      <c r="A34" s="303">
        <v>40756</v>
      </c>
      <c r="B34" s="304">
        <f t="shared" si="0"/>
        <v>31</v>
      </c>
      <c r="C34" s="307">
        <f t="shared" si="1"/>
        <v>737.5893698630139</v>
      </c>
      <c r="D34" s="310">
        <v>1</v>
      </c>
      <c r="E34" s="311">
        <f t="shared" si="2"/>
        <v>2166.6666666666665</v>
      </c>
      <c r="F34" s="307">
        <f t="shared" si="3"/>
        <v>244833.3333333334</v>
      </c>
      <c r="G34" s="312">
        <f t="shared" si="4"/>
        <v>2904.2560365296804</v>
      </c>
      <c r="H34" s="313">
        <v>0</v>
      </c>
      <c r="I34" s="307"/>
      <c r="J34" s="309"/>
      <c r="K34" s="309"/>
    </row>
    <row r="35" spans="1:11" s="300" customFormat="1" ht="21" customHeight="1">
      <c r="A35" s="303">
        <v>40787</v>
      </c>
      <c r="B35" s="304">
        <f t="shared" si="0"/>
        <v>31</v>
      </c>
      <c r="C35" s="307">
        <f t="shared" si="1"/>
        <v>731.119287671233</v>
      </c>
      <c r="D35" s="310">
        <v>1</v>
      </c>
      <c r="E35" s="311">
        <f t="shared" si="2"/>
        <v>2166.6666666666665</v>
      </c>
      <c r="F35" s="307">
        <f t="shared" si="3"/>
        <v>242666.66666666674</v>
      </c>
      <c r="G35" s="312">
        <f t="shared" si="4"/>
        <v>2897.7859543378995</v>
      </c>
      <c r="H35" s="313">
        <v>0</v>
      </c>
      <c r="I35" s="307"/>
      <c r="J35" s="309"/>
      <c r="K35" s="309"/>
    </row>
    <row r="36" spans="1:11" s="300" customFormat="1" ht="21" customHeight="1">
      <c r="A36" s="303">
        <v>40817</v>
      </c>
      <c r="B36" s="304">
        <f t="shared" si="0"/>
        <v>30</v>
      </c>
      <c r="C36" s="307">
        <f t="shared" si="1"/>
        <v>701.2734246575343</v>
      </c>
      <c r="D36" s="310">
        <v>1</v>
      </c>
      <c r="E36" s="311">
        <f t="shared" si="2"/>
        <v>2166.6666666666665</v>
      </c>
      <c r="F36" s="307">
        <f t="shared" si="3"/>
        <v>240500.0000000001</v>
      </c>
      <c r="G36" s="312">
        <f t="shared" si="4"/>
        <v>2867.9400913242007</v>
      </c>
      <c r="H36" s="313">
        <v>0</v>
      </c>
      <c r="I36" s="307"/>
      <c r="J36" s="309"/>
      <c r="K36" s="309"/>
    </row>
    <row r="37" spans="1:11" s="300" customFormat="1" ht="21" customHeight="1">
      <c r="A37" s="303">
        <v>40848</v>
      </c>
      <c r="B37" s="304">
        <f t="shared" si="0"/>
        <v>31</v>
      </c>
      <c r="C37" s="307">
        <f t="shared" si="1"/>
        <v>718.1791232876714</v>
      </c>
      <c r="D37" s="310">
        <v>1</v>
      </c>
      <c r="E37" s="311">
        <f t="shared" si="2"/>
        <v>2166.6666666666665</v>
      </c>
      <c r="F37" s="307">
        <f t="shared" si="3"/>
        <v>238333.33333333343</v>
      </c>
      <c r="G37" s="312">
        <f t="shared" si="4"/>
        <v>2884.8457899543378</v>
      </c>
      <c r="H37" s="313">
        <v>0</v>
      </c>
      <c r="I37" s="307"/>
      <c r="J37" s="309"/>
      <c r="K37" s="309"/>
    </row>
    <row r="38" spans="1:11" s="300" customFormat="1" ht="21" customHeight="1">
      <c r="A38" s="303">
        <v>40878</v>
      </c>
      <c r="B38" s="304">
        <f t="shared" si="0"/>
        <v>30</v>
      </c>
      <c r="C38" s="307">
        <f aca="true" t="shared" si="5" ref="C38:C49">F37*(B38/$F$17)*$C$8</f>
        <v>688.7506849315071</v>
      </c>
      <c r="D38" s="310">
        <v>1</v>
      </c>
      <c r="E38" s="311">
        <f t="shared" si="2"/>
        <v>2166.6666666666665</v>
      </c>
      <c r="F38" s="307">
        <f t="shared" si="3"/>
        <v>236166.66666666677</v>
      </c>
      <c r="G38" s="312">
        <f t="shared" si="4"/>
        <v>2855.417351598174</v>
      </c>
      <c r="H38" s="313">
        <f>SUM(G26:G38)</f>
        <v>32750.358867579907</v>
      </c>
      <c r="I38" s="307"/>
      <c r="J38" s="309"/>
      <c r="K38" s="309"/>
    </row>
    <row r="39" spans="1:11" s="300" customFormat="1" ht="21" customHeight="1">
      <c r="A39" s="303">
        <v>40909</v>
      </c>
      <c r="B39" s="304">
        <f t="shared" si="0"/>
        <v>31</v>
      </c>
      <c r="C39" s="307">
        <f t="shared" si="5"/>
        <v>705.2389589041098</v>
      </c>
      <c r="D39" s="310">
        <v>1</v>
      </c>
      <c r="E39" s="311">
        <f t="shared" si="2"/>
        <v>2166.6666666666665</v>
      </c>
      <c r="F39" s="307">
        <f t="shared" si="3"/>
        <v>234000.00000000012</v>
      </c>
      <c r="G39" s="312">
        <f t="shared" si="4"/>
        <v>2871.9056255707765</v>
      </c>
      <c r="H39" s="313">
        <v>0</v>
      </c>
      <c r="I39" s="307"/>
      <c r="J39" s="309"/>
      <c r="K39" s="309"/>
    </row>
    <row r="40" spans="1:11" s="300" customFormat="1" ht="21" customHeight="1">
      <c r="A40" s="303">
        <v>40940</v>
      </c>
      <c r="B40" s="304">
        <f t="shared" si="0"/>
        <v>31</v>
      </c>
      <c r="C40" s="307">
        <f t="shared" si="5"/>
        <v>698.768876712329</v>
      </c>
      <c r="D40" s="310">
        <v>1</v>
      </c>
      <c r="E40" s="311">
        <f t="shared" si="2"/>
        <v>2166.6666666666665</v>
      </c>
      <c r="F40" s="307">
        <f t="shared" si="3"/>
        <v>231833.33333333346</v>
      </c>
      <c r="G40" s="312">
        <f t="shared" si="4"/>
        <v>2865.4355433789956</v>
      </c>
      <c r="H40" s="313">
        <v>0</v>
      </c>
      <c r="I40" s="307"/>
      <c r="J40" s="309"/>
      <c r="K40" s="309"/>
    </row>
    <row r="41" spans="1:11" s="300" customFormat="1" ht="21" customHeight="1">
      <c r="A41" s="303">
        <v>40969</v>
      </c>
      <c r="B41" s="304">
        <f t="shared" si="0"/>
        <v>29</v>
      </c>
      <c r="C41" s="307">
        <f t="shared" si="5"/>
        <v>647.6343561643839</v>
      </c>
      <c r="D41" s="310">
        <v>1</v>
      </c>
      <c r="E41" s="311">
        <f t="shared" si="2"/>
        <v>2166.6666666666665</v>
      </c>
      <c r="F41" s="307">
        <f t="shared" si="3"/>
        <v>229666.6666666668</v>
      </c>
      <c r="G41" s="312">
        <f t="shared" si="4"/>
        <v>2814.3010228310504</v>
      </c>
      <c r="H41" s="313">
        <v>0</v>
      </c>
      <c r="I41" s="307"/>
      <c r="J41" s="309"/>
      <c r="K41" s="309"/>
    </row>
    <row r="42" spans="1:11" s="315" customFormat="1" ht="21" customHeight="1">
      <c r="A42" s="303">
        <v>41000</v>
      </c>
      <c r="B42" s="304">
        <f t="shared" si="0"/>
        <v>31</v>
      </c>
      <c r="C42" s="307">
        <f t="shared" si="5"/>
        <v>685.8287123287674</v>
      </c>
      <c r="D42" s="310">
        <v>1</v>
      </c>
      <c r="E42" s="311">
        <f t="shared" si="2"/>
        <v>2166.6666666666665</v>
      </c>
      <c r="F42" s="307">
        <f t="shared" si="3"/>
        <v>227500.00000000015</v>
      </c>
      <c r="G42" s="312">
        <f t="shared" si="4"/>
        <v>2852.495378995434</v>
      </c>
      <c r="H42" s="313">
        <v>0</v>
      </c>
      <c r="I42" s="307"/>
      <c r="J42" s="314"/>
      <c r="K42" s="314"/>
    </row>
    <row r="43" spans="1:11" s="300" customFormat="1" ht="21" customHeight="1">
      <c r="A43" s="303">
        <v>41030</v>
      </c>
      <c r="B43" s="304">
        <f t="shared" si="0"/>
        <v>30</v>
      </c>
      <c r="C43" s="307">
        <f t="shared" si="5"/>
        <v>657.4438356164387</v>
      </c>
      <c r="D43" s="310">
        <v>1</v>
      </c>
      <c r="E43" s="311">
        <f t="shared" si="2"/>
        <v>2166.6666666666665</v>
      </c>
      <c r="F43" s="307">
        <f t="shared" si="3"/>
        <v>225333.3333333335</v>
      </c>
      <c r="G43" s="312">
        <f t="shared" si="4"/>
        <v>2824.1105022831052</v>
      </c>
      <c r="H43" s="313">
        <v>0</v>
      </c>
      <c r="I43" s="307"/>
      <c r="J43" s="309"/>
      <c r="K43" s="309"/>
    </row>
    <row r="44" spans="1:11" s="300" customFormat="1" ht="21" customHeight="1">
      <c r="A44" s="303">
        <v>41061</v>
      </c>
      <c r="B44" s="304">
        <f t="shared" si="0"/>
        <v>31</v>
      </c>
      <c r="C44" s="307">
        <f t="shared" si="5"/>
        <v>672.8885479452058</v>
      </c>
      <c r="D44" s="310">
        <v>1</v>
      </c>
      <c r="E44" s="311">
        <f t="shared" si="2"/>
        <v>2166.6666666666665</v>
      </c>
      <c r="F44" s="307">
        <f t="shared" si="3"/>
        <v>223166.66666666683</v>
      </c>
      <c r="G44" s="312">
        <f t="shared" si="4"/>
        <v>2839.5552146118725</v>
      </c>
      <c r="H44" s="313">
        <v>0</v>
      </c>
      <c r="I44" s="307"/>
      <c r="J44" s="309"/>
      <c r="K44" s="309"/>
    </row>
    <row r="45" spans="1:11" s="300" customFormat="1" ht="21" customHeight="1">
      <c r="A45" s="303">
        <v>41091</v>
      </c>
      <c r="B45" s="304">
        <f t="shared" si="0"/>
        <v>30</v>
      </c>
      <c r="C45" s="307">
        <f t="shared" si="5"/>
        <v>644.9210958904113</v>
      </c>
      <c r="D45" s="310">
        <v>1</v>
      </c>
      <c r="E45" s="311">
        <f t="shared" si="2"/>
        <v>2166.6666666666665</v>
      </c>
      <c r="F45" s="307">
        <f t="shared" si="3"/>
        <v>221000.00000000017</v>
      </c>
      <c r="G45" s="312">
        <f t="shared" si="4"/>
        <v>2811.587762557078</v>
      </c>
      <c r="H45" s="313">
        <v>0</v>
      </c>
      <c r="I45" s="307"/>
      <c r="J45" s="309"/>
      <c r="K45" s="309"/>
    </row>
    <row r="46" spans="1:11" s="300" customFormat="1" ht="21" customHeight="1">
      <c r="A46" s="303">
        <v>41122</v>
      </c>
      <c r="B46" s="304">
        <f t="shared" si="0"/>
        <v>31</v>
      </c>
      <c r="C46" s="307">
        <f t="shared" si="5"/>
        <v>659.9483835616443</v>
      </c>
      <c r="D46" s="310">
        <v>1</v>
      </c>
      <c r="E46" s="311">
        <f t="shared" si="2"/>
        <v>2166.6666666666665</v>
      </c>
      <c r="F46" s="307">
        <f t="shared" si="3"/>
        <v>218833.33333333352</v>
      </c>
      <c r="G46" s="312">
        <f t="shared" si="4"/>
        <v>2826.615050228311</v>
      </c>
      <c r="H46" s="313">
        <v>0</v>
      </c>
      <c r="I46" s="307"/>
      <c r="J46" s="309"/>
      <c r="K46" s="309"/>
    </row>
    <row r="47" spans="1:11" s="300" customFormat="1" ht="21" customHeight="1">
      <c r="A47" s="303">
        <v>41153</v>
      </c>
      <c r="B47" s="304">
        <f t="shared" si="0"/>
        <v>31</v>
      </c>
      <c r="C47" s="307">
        <f t="shared" si="5"/>
        <v>653.4783013698635</v>
      </c>
      <c r="D47" s="310">
        <v>1</v>
      </c>
      <c r="E47" s="311">
        <f t="shared" si="2"/>
        <v>2166.6666666666665</v>
      </c>
      <c r="F47" s="307">
        <f t="shared" si="3"/>
        <v>216666.66666666686</v>
      </c>
      <c r="G47" s="312">
        <f t="shared" si="4"/>
        <v>2820.14496803653</v>
      </c>
      <c r="H47" s="313">
        <v>0</v>
      </c>
      <c r="I47" s="307"/>
      <c r="J47" s="309"/>
      <c r="K47" s="309"/>
    </row>
    <row r="48" spans="1:11" s="300" customFormat="1" ht="21" customHeight="1">
      <c r="A48" s="303">
        <v>41183</v>
      </c>
      <c r="B48" s="304">
        <f t="shared" si="0"/>
        <v>30</v>
      </c>
      <c r="C48" s="307">
        <f t="shared" si="5"/>
        <v>626.1369863013704</v>
      </c>
      <c r="D48" s="310">
        <v>1</v>
      </c>
      <c r="E48" s="311">
        <f t="shared" si="2"/>
        <v>2166.6666666666665</v>
      </c>
      <c r="F48" s="307">
        <f t="shared" si="3"/>
        <v>214500.0000000002</v>
      </c>
      <c r="G48" s="312">
        <f t="shared" si="4"/>
        <v>2792.8036529680367</v>
      </c>
      <c r="H48" s="313">
        <v>0</v>
      </c>
      <c r="I48" s="307"/>
      <c r="J48" s="309"/>
      <c r="K48" s="309"/>
    </row>
    <row r="49" spans="1:11" s="300" customFormat="1" ht="21" customHeight="1">
      <c r="A49" s="303">
        <v>41214</v>
      </c>
      <c r="B49" s="304">
        <f t="shared" si="0"/>
        <v>31</v>
      </c>
      <c r="C49" s="307">
        <f t="shared" si="5"/>
        <v>640.5381369863019</v>
      </c>
      <c r="D49" s="310">
        <v>1</v>
      </c>
      <c r="E49" s="311">
        <f t="shared" si="2"/>
        <v>2166.6666666666665</v>
      </c>
      <c r="F49" s="307">
        <f t="shared" si="3"/>
        <v>212333.33333333355</v>
      </c>
      <c r="G49" s="312">
        <f t="shared" si="4"/>
        <v>2807.2048036529686</v>
      </c>
      <c r="H49" s="313">
        <v>0</v>
      </c>
      <c r="I49" s="307"/>
      <c r="J49" s="309"/>
      <c r="K49" s="309"/>
    </row>
    <row r="50" spans="1:11" s="300" customFormat="1" ht="21" customHeight="1">
      <c r="A50" s="303">
        <v>41244</v>
      </c>
      <c r="B50" s="304">
        <f t="shared" si="0"/>
        <v>30</v>
      </c>
      <c r="C50" s="307">
        <f aca="true" t="shared" si="6" ref="C50:C61">F49*(B50/$F$18)*$C$8</f>
        <v>613.614246575343</v>
      </c>
      <c r="D50" s="310">
        <v>1</v>
      </c>
      <c r="E50" s="311">
        <f t="shared" si="2"/>
        <v>2166.6666666666665</v>
      </c>
      <c r="F50" s="307">
        <f t="shared" si="3"/>
        <v>210166.6666666669</v>
      </c>
      <c r="G50" s="312">
        <f t="shared" si="4"/>
        <v>2780.28091324201</v>
      </c>
      <c r="H50" s="313">
        <f>SUM(G39:G50)</f>
        <v>33906.44043835616</v>
      </c>
      <c r="I50" s="307"/>
      <c r="J50" s="309"/>
      <c r="K50" s="309"/>
    </row>
    <row r="51" spans="1:11" s="300" customFormat="1" ht="21" customHeight="1">
      <c r="A51" s="303">
        <v>41275</v>
      </c>
      <c r="B51" s="304">
        <f t="shared" si="0"/>
        <v>31</v>
      </c>
      <c r="C51" s="307">
        <f t="shared" si="6"/>
        <v>627.5979726027402</v>
      </c>
      <c r="D51" s="310">
        <v>1</v>
      </c>
      <c r="E51" s="311">
        <f t="shared" si="2"/>
        <v>2166.6666666666665</v>
      </c>
      <c r="F51" s="307">
        <f t="shared" si="3"/>
        <v>208000.00000000023</v>
      </c>
      <c r="G51" s="312">
        <f t="shared" si="4"/>
        <v>2794.264639269407</v>
      </c>
      <c r="H51" s="313">
        <v>0</v>
      </c>
      <c r="I51" s="307"/>
      <c r="J51" s="309"/>
      <c r="K51" s="309"/>
    </row>
    <row r="52" spans="1:11" s="300" customFormat="1" ht="21" customHeight="1">
      <c r="A52" s="303">
        <v>41306</v>
      </c>
      <c r="B52" s="304">
        <f t="shared" si="0"/>
        <v>31</v>
      </c>
      <c r="C52" s="307">
        <f t="shared" si="6"/>
        <v>621.1278904109595</v>
      </c>
      <c r="D52" s="310">
        <v>1</v>
      </c>
      <c r="E52" s="311">
        <f t="shared" si="2"/>
        <v>2166.6666666666665</v>
      </c>
      <c r="F52" s="307">
        <f t="shared" si="3"/>
        <v>205833.33333333358</v>
      </c>
      <c r="G52" s="312">
        <f t="shared" si="4"/>
        <v>2787.794557077626</v>
      </c>
      <c r="H52" s="313">
        <v>0</v>
      </c>
      <c r="I52" s="307"/>
      <c r="J52" s="309"/>
      <c r="K52" s="309"/>
    </row>
    <row r="53" spans="1:11" s="300" customFormat="1" ht="21" customHeight="1">
      <c r="A53" s="303">
        <v>41334</v>
      </c>
      <c r="B53" s="304">
        <f t="shared" si="0"/>
        <v>28</v>
      </c>
      <c r="C53" s="307">
        <f t="shared" si="6"/>
        <v>555.1747945205485</v>
      </c>
      <c r="D53" s="310">
        <v>1</v>
      </c>
      <c r="E53" s="311">
        <f t="shared" si="2"/>
        <v>2166.6666666666665</v>
      </c>
      <c r="F53" s="307">
        <f t="shared" si="3"/>
        <v>203666.66666666692</v>
      </c>
      <c r="G53" s="312">
        <f t="shared" si="4"/>
        <v>2721.841461187215</v>
      </c>
      <c r="H53" s="313">
        <v>0</v>
      </c>
      <c r="I53" s="307"/>
      <c r="J53" s="309"/>
      <c r="K53" s="309"/>
    </row>
    <row r="54" spans="1:11" s="300" customFormat="1" ht="21" customHeight="1">
      <c r="A54" s="303">
        <v>41365</v>
      </c>
      <c r="B54" s="304">
        <f t="shared" si="0"/>
        <v>31</v>
      </c>
      <c r="C54" s="307">
        <f t="shared" si="6"/>
        <v>608.187726027398</v>
      </c>
      <c r="D54" s="310">
        <v>1</v>
      </c>
      <c r="E54" s="311">
        <f t="shared" si="2"/>
        <v>2166.6666666666665</v>
      </c>
      <c r="F54" s="307">
        <f t="shared" si="3"/>
        <v>201500.00000000026</v>
      </c>
      <c r="G54" s="312">
        <f t="shared" si="4"/>
        <v>2774.8543926940647</v>
      </c>
      <c r="H54" s="313">
        <v>0</v>
      </c>
      <c r="I54" s="307"/>
      <c r="J54" s="309"/>
      <c r="K54" s="309"/>
    </row>
    <row r="55" spans="1:11" s="300" customFormat="1" ht="21" customHeight="1">
      <c r="A55" s="303">
        <v>41395</v>
      </c>
      <c r="B55" s="304">
        <f t="shared" si="0"/>
        <v>30</v>
      </c>
      <c r="C55" s="307">
        <f t="shared" si="6"/>
        <v>582.3073972602746</v>
      </c>
      <c r="D55" s="310">
        <v>1</v>
      </c>
      <c r="E55" s="311">
        <f t="shared" si="2"/>
        <v>2166.6666666666665</v>
      </c>
      <c r="F55" s="307">
        <f t="shared" si="3"/>
        <v>199333.3333333336</v>
      </c>
      <c r="G55" s="312">
        <f t="shared" si="4"/>
        <v>2748.974063926941</v>
      </c>
      <c r="H55" s="313">
        <v>0</v>
      </c>
      <c r="I55" s="307"/>
      <c r="J55" s="309"/>
      <c r="K55" s="309"/>
    </row>
    <row r="56" spans="1:11" s="300" customFormat="1" ht="21" customHeight="1">
      <c r="A56" s="303">
        <v>41426</v>
      </c>
      <c r="B56" s="304">
        <f t="shared" si="0"/>
        <v>31</v>
      </c>
      <c r="C56" s="307">
        <f t="shared" si="6"/>
        <v>595.2475616438363</v>
      </c>
      <c r="D56" s="310">
        <v>1</v>
      </c>
      <c r="E56" s="311">
        <f t="shared" si="2"/>
        <v>2166.6666666666665</v>
      </c>
      <c r="F56" s="307">
        <f t="shared" si="3"/>
        <v>197166.66666666695</v>
      </c>
      <c r="G56" s="312">
        <f t="shared" si="4"/>
        <v>2761.914228310503</v>
      </c>
      <c r="H56" s="313">
        <v>0</v>
      </c>
      <c r="I56" s="307"/>
      <c r="J56" s="309"/>
      <c r="K56" s="309"/>
    </row>
    <row r="57" spans="1:11" s="315" customFormat="1" ht="21" customHeight="1">
      <c r="A57" s="303">
        <v>41456</v>
      </c>
      <c r="B57" s="304">
        <f t="shared" si="0"/>
        <v>30</v>
      </c>
      <c r="C57" s="307">
        <f t="shared" si="6"/>
        <v>569.7846575342473</v>
      </c>
      <c r="D57" s="310">
        <v>1</v>
      </c>
      <c r="E57" s="311">
        <f t="shared" si="2"/>
        <v>2166.6666666666665</v>
      </c>
      <c r="F57" s="307">
        <f t="shared" si="3"/>
        <v>195000.0000000003</v>
      </c>
      <c r="G57" s="312">
        <f t="shared" si="4"/>
        <v>2736.451324200914</v>
      </c>
      <c r="H57" s="313">
        <v>0</v>
      </c>
      <c r="I57" s="307"/>
      <c r="J57" s="314"/>
      <c r="K57" s="314"/>
    </row>
    <row r="58" spans="1:11" s="300" customFormat="1" ht="21" customHeight="1">
      <c r="A58" s="303">
        <v>41487</v>
      </c>
      <c r="B58" s="304">
        <f aca="true" t="shared" si="7" ref="B58:B86">A58-A57</f>
        <v>31</v>
      </c>
      <c r="C58" s="307">
        <f t="shared" si="6"/>
        <v>582.3073972602748</v>
      </c>
      <c r="D58" s="310">
        <v>1</v>
      </c>
      <c r="E58" s="311">
        <f aca="true" t="shared" si="8" ref="E58:E89">IF(OR(D58=1,D58&gt;1),C$13,0)</f>
        <v>2166.6666666666665</v>
      </c>
      <c r="F58" s="307">
        <f aca="true" t="shared" si="9" ref="F58:F89">F57-E58</f>
        <v>192833.33333333363</v>
      </c>
      <c r="G58" s="312">
        <f aca="true" t="shared" si="10" ref="G58:G89">E58+C58</f>
        <v>2748.974063926941</v>
      </c>
      <c r="H58" s="313">
        <v>0</v>
      </c>
      <c r="I58" s="307"/>
      <c r="J58" s="309"/>
      <c r="K58" s="309"/>
    </row>
    <row r="59" spans="1:11" s="300" customFormat="1" ht="21" customHeight="1">
      <c r="A59" s="303">
        <v>41518</v>
      </c>
      <c r="B59" s="304">
        <f t="shared" si="7"/>
        <v>31</v>
      </c>
      <c r="C59" s="307">
        <f t="shared" si="6"/>
        <v>575.837315068494</v>
      </c>
      <c r="D59" s="310">
        <v>1</v>
      </c>
      <c r="E59" s="311">
        <f t="shared" si="8"/>
        <v>2166.6666666666665</v>
      </c>
      <c r="F59" s="307">
        <f t="shared" si="9"/>
        <v>190666.66666666698</v>
      </c>
      <c r="G59" s="312">
        <f t="shared" si="10"/>
        <v>2742.503981735161</v>
      </c>
      <c r="H59" s="313">
        <v>0</v>
      </c>
      <c r="I59" s="307"/>
      <c r="J59" s="309"/>
      <c r="K59" s="309"/>
    </row>
    <row r="60" spans="1:11" s="300" customFormat="1" ht="21" customHeight="1">
      <c r="A60" s="303">
        <v>41548</v>
      </c>
      <c r="B60" s="304">
        <f t="shared" si="7"/>
        <v>30</v>
      </c>
      <c r="C60" s="307">
        <f t="shared" si="6"/>
        <v>551.0005479452062</v>
      </c>
      <c r="D60" s="310">
        <v>1</v>
      </c>
      <c r="E60" s="311">
        <f t="shared" si="8"/>
        <v>2166.6666666666665</v>
      </c>
      <c r="F60" s="307">
        <f t="shared" si="9"/>
        <v>188500.00000000032</v>
      </c>
      <c r="G60" s="312">
        <f t="shared" si="10"/>
        <v>2717.6672146118726</v>
      </c>
      <c r="H60" s="313">
        <v>0</v>
      </c>
      <c r="I60" s="307"/>
      <c r="J60" s="309"/>
      <c r="K60" s="309"/>
    </row>
    <row r="61" spans="1:11" s="300" customFormat="1" ht="21" customHeight="1">
      <c r="A61" s="303">
        <v>41579</v>
      </c>
      <c r="B61" s="304">
        <f t="shared" si="7"/>
        <v>31</v>
      </c>
      <c r="C61" s="307">
        <f t="shared" si="6"/>
        <v>562.8971506849324</v>
      </c>
      <c r="D61" s="310">
        <v>1</v>
      </c>
      <c r="E61" s="311">
        <f t="shared" si="8"/>
        <v>2166.6666666666665</v>
      </c>
      <c r="F61" s="307">
        <f t="shared" si="9"/>
        <v>186333.33333333366</v>
      </c>
      <c r="G61" s="312">
        <f t="shared" si="10"/>
        <v>2729.563817351599</v>
      </c>
      <c r="H61" s="313">
        <v>0</v>
      </c>
      <c r="I61" s="307"/>
      <c r="J61" s="309"/>
      <c r="K61" s="309"/>
    </row>
    <row r="62" spans="1:11" s="300" customFormat="1" ht="21" customHeight="1">
      <c r="A62" s="303">
        <v>41609</v>
      </c>
      <c r="B62" s="304">
        <f t="shared" si="7"/>
        <v>30</v>
      </c>
      <c r="C62" s="307">
        <f aca="true" t="shared" si="11" ref="C62:C73">F61*(B62/$F$19)*$C$8</f>
        <v>537.0065573770501</v>
      </c>
      <c r="D62" s="310">
        <v>1</v>
      </c>
      <c r="E62" s="311">
        <f t="shared" si="8"/>
        <v>2166.6666666666665</v>
      </c>
      <c r="F62" s="307">
        <f t="shared" si="9"/>
        <v>184166.666666667</v>
      </c>
      <c r="G62" s="312">
        <f t="shared" si="10"/>
        <v>2703.673224043717</v>
      </c>
      <c r="H62" s="313">
        <f>SUM(G51:G62)</f>
        <v>32968.476968335955</v>
      </c>
      <c r="I62" s="307"/>
      <c r="J62" s="309"/>
      <c r="K62" s="309"/>
    </row>
    <row r="63" spans="1:11" s="300" customFormat="1" ht="21" customHeight="1">
      <c r="A63" s="303">
        <v>41640</v>
      </c>
      <c r="B63" s="304">
        <f t="shared" si="7"/>
        <v>31</v>
      </c>
      <c r="C63" s="307">
        <f t="shared" si="11"/>
        <v>548.4543715847003</v>
      </c>
      <c r="D63" s="310">
        <v>1</v>
      </c>
      <c r="E63" s="311">
        <f t="shared" si="8"/>
        <v>2166.6666666666665</v>
      </c>
      <c r="F63" s="307">
        <f t="shared" si="9"/>
        <v>182000.00000000035</v>
      </c>
      <c r="G63" s="312">
        <f t="shared" si="10"/>
        <v>2715.121038251367</v>
      </c>
      <c r="H63" s="313">
        <v>0</v>
      </c>
      <c r="I63" s="307"/>
      <c r="J63" s="309"/>
      <c r="K63" s="309"/>
    </row>
    <row r="64" spans="1:11" s="300" customFormat="1" ht="21" customHeight="1">
      <c r="A64" s="303">
        <v>41671</v>
      </c>
      <c r="B64" s="304">
        <f t="shared" si="7"/>
        <v>31</v>
      </c>
      <c r="C64" s="307">
        <f t="shared" si="11"/>
        <v>542.0019672131157</v>
      </c>
      <c r="D64" s="310">
        <v>1</v>
      </c>
      <c r="E64" s="311">
        <f t="shared" si="8"/>
        <v>2166.6666666666665</v>
      </c>
      <c r="F64" s="307">
        <f t="shared" si="9"/>
        <v>179833.3333333337</v>
      </c>
      <c r="G64" s="312">
        <f t="shared" si="10"/>
        <v>2708.668633879782</v>
      </c>
      <c r="H64" s="313">
        <v>0</v>
      </c>
      <c r="I64" s="307"/>
      <c r="J64" s="309"/>
      <c r="K64" s="309"/>
    </row>
    <row r="65" spans="1:11" s="300" customFormat="1" ht="21" customHeight="1">
      <c r="A65" s="303">
        <v>41699</v>
      </c>
      <c r="B65" s="304">
        <f t="shared" si="7"/>
        <v>28</v>
      </c>
      <c r="C65" s="307">
        <f t="shared" si="11"/>
        <v>483.7221857923507</v>
      </c>
      <c r="D65" s="310">
        <v>1</v>
      </c>
      <c r="E65" s="311">
        <f t="shared" si="8"/>
        <v>2166.6666666666665</v>
      </c>
      <c r="F65" s="307">
        <f t="shared" si="9"/>
        <v>177666.66666666704</v>
      </c>
      <c r="G65" s="312">
        <f t="shared" si="10"/>
        <v>2650.388852459017</v>
      </c>
      <c r="H65" s="313">
        <v>0</v>
      </c>
      <c r="I65" s="307"/>
      <c r="J65" s="309"/>
      <c r="K65" s="309"/>
    </row>
    <row r="66" spans="1:11" s="300" customFormat="1" ht="21" customHeight="1">
      <c r="A66" s="303">
        <v>41730</v>
      </c>
      <c r="B66" s="304">
        <f t="shared" si="7"/>
        <v>31</v>
      </c>
      <c r="C66" s="307">
        <f t="shared" si="11"/>
        <v>529.0971584699464</v>
      </c>
      <c r="D66" s="310">
        <v>1</v>
      </c>
      <c r="E66" s="311">
        <f t="shared" si="8"/>
        <v>2166.6666666666665</v>
      </c>
      <c r="F66" s="307">
        <f t="shared" si="9"/>
        <v>175500.00000000038</v>
      </c>
      <c r="G66" s="312">
        <f t="shared" si="10"/>
        <v>2695.763825136613</v>
      </c>
      <c r="H66" s="313">
        <v>0</v>
      </c>
      <c r="I66" s="307"/>
      <c r="J66" s="309"/>
      <c r="K66" s="309"/>
    </row>
    <row r="67" spans="1:11" s="300" customFormat="1" ht="21" customHeight="1">
      <c r="A67" s="303">
        <v>41760</v>
      </c>
      <c r="B67" s="304">
        <f t="shared" si="7"/>
        <v>30</v>
      </c>
      <c r="C67" s="307">
        <f t="shared" si="11"/>
        <v>505.7852459016404</v>
      </c>
      <c r="D67" s="310">
        <v>1</v>
      </c>
      <c r="E67" s="311">
        <f t="shared" si="8"/>
        <v>2166.6666666666665</v>
      </c>
      <c r="F67" s="307">
        <f t="shared" si="9"/>
        <v>173333.33333333372</v>
      </c>
      <c r="G67" s="312">
        <f t="shared" si="10"/>
        <v>2672.451912568307</v>
      </c>
      <c r="H67" s="313">
        <v>0</v>
      </c>
      <c r="I67" s="307"/>
      <c r="J67" s="309"/>
      <c r="K67" s="309"/>
    </row>
    <row r="68" spans="1:11" s="300" customFormat="1" ht="21" customHeight="1">
      <c r="A68" s="303">
        <v>41791</v>
      </c>
      <c r="B68" s="304">
        <f t="shared" si="7"/>
        <v>31</v>
      </c>
      <c r="C68" s="307">
        <f t="shared" si="11"/>
        <v>516.192349726777</v>
      </c>
      <c r="D68" s="310">
        <v>1</v>
      </c>
      <c r="E68" s="311">
        <f t="shared" si="8"/>
        <v>2166.6666666666665</v>
      </c>
      <c r="F68" s="307">
        <f t="shared" si="9"/>
        <v>171166.66666666706</v>
      </c>
      <c r="G68" s="312">
        <f t="shared" si="10"/>
        <v>2682.8590163934437</v>
      </c>
      <c r="H68" s="313">
        <v>0</v>
      </c>
      <c r="I68" s="307"/>
      <c r="J68" s="309"/>
      <c r="K68" s="309"/>
    </row>
    <row r="69" spans="1:11" s="300" customFormat="1" ht="21" customHeight="1">
      <c r="A69" s="303">
        <v>41821</v>
      </c>
      <c r="B69" s="304">
        <f t="shared" si="7"/>
        <v>30</v>
      </c>
      <c r="C69" s="307">
        <f t="shared" si="11"/>
        <v>493.2967213114765</v>
      </c>
      <c r="D69" s="310">
        <v>1</v>
      </c>
      <c r="E69" s="311">
        <f t="shared" si="8"/>
        <v>2166.6666666666665</v>
      </c>
      <c r="F69" s="307">
        <f t="shared" si="9"/>
        <v>169000.0000000004</v>
      </c>
      <c r="G69" s="312">
        <f t="shared" si="10"/>
        <v>2659.963387978143</v>
      </c>
      <c r="H69" s="313">
        <v>0</v>
      </c>
      <c r="I69" s="307"/>
      <c r="J69" s="309"/>
      <c r="K69" s="309"/>
    </row>
    <row r="70" spans="1:11" s="300" customFormat="1" ht="21" customHeight="1">
      <c r="A70" s="303">
        <v>41852</v>
      </c>
      <c r="B70" s="304">
        <f t="shared" si="7"/>
        <v>31</v>
      </c>
      <c r="C70" s="307">
        <f t="shared" si="11"/>
        <v>503.2875409836077</v>
      </c>
      <c r="D70" s="310">
        <v>1</v>
      </c>
      <c r="E70" s="311">
        <f t="shared" si="8"/>
        <v>2166.6666666666665</v>
      </c>
      <c r="F70" s="307">
        <f t="shared" si="9"/>
        <v>166833.33333333375</v>
      </c>
      <c r="G70" s="312">
        <f t="shared" si="10"/>
        <v>2669.9542076502744</v>
      </c>
      <c r="H70" s="313">
        <v>0</v>
      </c>
      <c r="I70" s="307"/>
      <c r="J70" s="309"/>
      <c r="K70" s="309"/>
    </row>
    <row r="71" spans="1:11" s="300" customFormat="1" ht="21" customHeight="1">
      <c r="A71" s="303">
        <v>41883</v>
      </c>
      <c r="B71" s="304">
        <f t="shared" si="7"/>
        <v>31</v>
      </c>
      <c r="C71" s="307">
        <f t="shared" si="11"/>
        <v>496.83513661202306</v>
      </c>
      <c r="D71" s="310">
        <v>1</v>
      </c>
      <c r="E71" s="311">
        <f t="shared" si="8"/>
        <v>2166.6666666666665</v>
      </c>
      <c r="F71" s="307">
        <f t="shared" si="9"/>
        <v>164666.6666666671</v>
      </c>
      <c r="G71" s="312">
        <f t="shared" si="10"/>
        <v>2663.5018032786897</v>
      </c>
      <c r="H71" s="313">
        <v>0</v>
      </c>
      <c r="I71" s="307"/>
      <c r="J71" s="309"/>
      <c r="K71" s="309"/>
    </row>
    <row r="72" spans="1:11" s="300" customFormat="1" ht="21" customHeight="1">
      <c r="A72" s="303">
        <v>41913</v>
      </c>
      <c r="B72" s="304">
        <f t="shared" si="7"/>
        <v>30</v>
      </c>
      <c r="C72" s="307">
        <f t="shared" si="11"/>
        <v>474.5639344262307</v>
      </c>
      <c r="D72" s="310">
        <v>1</v>
      </c>
      <c r="E72" s="311">
        <f t="shared" si="8"/>
        <v>2166.6666666666665</v>
      </c>
      <c r="F72" s="307">
        <f t="shared" si="9"/>
        <v>162500.00000000044</v>
      </c>
      <c r="G72" s="312">
        <f t="shared" si="10"/>
        <v>2641.2306010928974</v>
      </c>
      <c r="H72" s="313">
        <v>0</v>
      </c>
      <c r="I72" s="307"/>
      <c r="J72" s="309"/>
      <c r="K72" s="309"/>
    </row>
    <row r="73" spans="1:11" s="300" customFormat="1" ht="21" customHeight="1">
      <c r="A73" s="303">
        <v>41944</v>
      </c>
      <c r="B73" s="304">
        <f t="shared" si="7"/>
        <v>31</v>
      </c>
      <c r="C73" s="307">
        <f t="shared" si="11"/>
        <v>483.9303278688537</v>
      </c>
      <c r="D73" s="310">
        <v>1</v>
      </c>
      <c r="E73" s="311">
        <f t="shared" si="8"/>
        <v>2166.6666666666665</v>
      </c>
      <c r="F73" s="307">
        <f t="shared" si="9"/>
        <v>160333.33333333378</v>
      </c>
      <c r="G73" s="312">
        <f t="shared" si="10"/>
        <v>2650.59699453552</v>
      </c>
      <c r="H73" s="313">
        <v>0</v>
      </c>
      <c r="I73" s="307"/>
      <c r="J73" s="309"/>
      <c r="K73" s="309"/>
    </row>
    <row r="74" spans="1:11" s="315" customFormat="1" ht="21" customHeight="1">
      <c r="A74" s="303">
        <v>41974</v>
      </c>
      <c r="B74" s="304">
        <f t="shared" si="7"/>
        <v>30</v>
      </c>
      <c r="C74" s="307">
        <f aca="true" t="shared" si="12" ref="C74:C85">F73*(B74/$F$20)*$C$8</f>
        <v>463.3413698630149</v>
      </c>
      <c r="D74" s="310">
        <v>1</v>
      </c>
      <c r="E74" s="311">
        <f t="shared" si="8"/>
        <v>2166.6666666666665</v>
      </c>
      <c r="F74" s="307">
        <f t="shared" si="9"/>
        <v>158166.66666666712</v>
      </c>
      <c r="G74" s="312">
        <f t="shared" si="10"/>
        <v>2630.0080365296812</v>
      </c>
      <c r="H74" s="313">
        <f>SUM(G63:G74)</f>
        <v>32040.50830975374</v>
      </c>
      <c r="I74" s="307"/>
      <c r="J74" s="314"/>
      <c r="K74" s="314"/>
    </row>
    <row r="75" spans="1:11" s="300" customFormat="1" ht="21" customHeight="1">
      <c r="A75" s="303">
        <v>42005</v>
      </c>
      <c r="B75" s="304">
        <f t="shared" si="7"/>
        <v>31</v>
      </c>
      <c r="C75" s="307">
        <f t="shared" si="12"/>
        <v>472.31600000000134</v>
      </c>
      <c r="D75" s="310">
        <v>1</v>
      </c>
      <c r="E75" s="311">
        <f t="shared" si="8"/>
        <v>2166.6666666666665</v>
      </c>
      <c r="F75" s="307">
        <f t="shared" si="9"/>
        <v>156000.00000000047</v>
      </c>
      <c r="G75" s="312">
        <f t="shared" si="10"/>
        <v>2638.9826666666677</v>
      </c>
      <c r="H75" s="313">
        <v>0</v>
      </c>
      <c r="I75" s="307"/>
      <c r="J75" s="309"/>
      <c r="K75" s="309"/>
    </row>
    <row r="76" spans="1:11" s="300" customFormat="1" ht="21" customHeight="1">
      <c r="A76" s="303">
        <v>42036</v>
      </c>
      <c r="B76" s="304">
        <f t="shared" si="7"/>
        <v>31</v>
      </c>
      <c r="C76" s="307">
        <f t="shared" si="12"/>
        <v>465.8459178082205</v>
      </c>
      <c r="D76" s="310">
        <v>1</v>
      </c>
      <c r="E76" s="311">
        <f t="shared" si="8"/>
        <v>2166.6666666666665</v>
      </c>
      <c r="F76" s="307">
        <f t="shared" si="9"/>
        <v>153833.3333333338</v>
      </c>
      <c r="G76" s="312">
        <f t="shared" si="10"/>
        <v>2632.5125844748873</v>
      </c>
      <c r="H76" s="313">
        <v>0</v>
      </c>
      <c r="I76" s="307"/>
      <c r="J76" s="309"/>
      <c r="K76" s="309"/>
    </row>
    <row r="77" spans="1:11" s="300" customFormat="1" ht="21" customHeight="1">
      <c r="A77" s="303">
        <v>42064</v>
      </c>
      <c r="B77" s="304">
        <f t="shared" si="7"/>
        <v>28</v>
      </c>
      <c r="C77" s="307">
        <f t="shared" si="12"/>
        <v>414.9201095890424</v>
      </c>
      <c r="D77" s="310">
        <v>1</v>
      </c>
      <c r="E77" s="311">
        <f t="shared" si="8"/>
        <v>2166.6666666666665</v>
      </c>
      <c r="F77" s="307">
        <f t="shared" si="9"/>
        <v>151666.66666666715</v>
      </c>
      <c r="G77" s="312">
        <f t="shared" si="10"/>
        <v>2581.586776255709</v>
      </c>
      <c r="H77" s="313">
        <v>0</v>
      </c>
      <c r="I77" s="307"/>
      <c r="J77" s="309"/>
      <c r="K77" s="309"/>
    </row>
    <row r="78" spans="1:11" s="300" customFormat="1" ht="21" customHeight="1">
      <c r="A78" s="303">
        <v>42095</v>
      </c>
      <c r="B78" s="304">
        <f t="shared" si="7"/>
        <v>31</v>
      </c>
      <c r="C78" s="307">
        <f t="shared" si="12"/>
        <v>452.90575342465894</v>
      </c>
      <c r="D78" s="310">
        <v>1</v>
      </c>
      <c r="E78" s="311">
        <f t="shared" si="8"/>
        <v>2166.6666666666665</v>
      </c>
      <c r="F78" s="307">
        <f t="shared" si="9"/>
        <v>149500.0000000005</v>
      </c>
      <c r="G78" s="312">
        <f t="shared" si="10"/>
        <v>2619.5724200913255</v>
      </c>
      <c r="H78" s="313">
        <v>0</v>
      </c>
      <c r="I78" s="307"/>
      <c r="J78" s="309"/>
      <c r="K78" s="309"/>
    </row>
    <row r="79" spans="1:11" s="300" customFormat="1" ht="21" customHeight="1">
      <c r="A79" s="303">
        <v>42125</v>
      </c>
      <c r="B79" s="304">
        <f t="shared" si="7"/>
        <v>30</v>
      </c>
      <c r="C79" s="307">
        <f t="shared" si="12"/>
        <v>432.03452054794656</v>
      </c>
      <c r="D79" s="310">
        <v>1</v>
      </c>
      <c r="E79" s="311">
        <f t="shared" si="8"/>
        <v>2166.6666666666665</v>
      </c>
      <c r="F79" s="307">
        <f t="shared" si="9"/>
        <v>147333.33333333384</v>
      </c>
      <c r="G79" s="312">
        <f t="shared" si="10"/>
        <v>2598.701187214613</v>
      </c>
      <c r="H79" s="313">
        <v>0</v>
      </c>
      <c r="I79" s="307"/>
      <c r="J79" s="309"/>
      <c r="K79" s="309"/>
    </row>
    <row r="80" spans="1:11" s="300" customFormat="1" ht="21" customHeight="1">
      <c r="A80" s="303">
        <v>42156</v>
      </c>
      <c r="B80" s="304">
        <f t="shared" si="7"/>
        <v>31</v>
      </c>
      <c r="C80" s="307">
        <f t="shared" si="12"/>
        <v>439.9655890410973</v>
      </c>
      <c r="D80" s="310">
        <v>1</v>
      </c>
      <c r="E80" s="311">
        <f t="shared" si="8"/>
        <v>2166.6666666666665</v>
      </c>
      <c r="F80" s="307">
        <f t="shared" si="9"/>
        <v>145166.66666666718</v>
      </c>
      <c r="G80" s="312">
        <f t="shared" si="10"/>
        <v>2606.6322557077638</v>
      </c>
      <c r="H80" s="313">
        <v>0</v>
      </c>
      <c r="I80" s="307"/>
      <c r="J80" s="309"/>
      <c r="K80" s="309"/>
    </row>
    <row r="81" spans="1:11" s="300" customFormat="1" ht="21" customHeight="1">
      <c r="A81" s="303">
        <v>42186</v>
      </c>
      <c r="B81" s="304">
        <f t="shared" si="7"/>
        <v>30</v>
      </c>
      <c r="C81" s="307">
        <f t="shared" si="12"/>
        <v>419.5117808219192</v>
      </c>
      <c r="D81" s="310">
        <v>1</v>
      </c>
      <c r="E81" s="311">
        <f t="shared" si="8"/>
        <v>2166.6666666666665</v>
      </c>
      <c r="F81" s="307">
        <f t="shared" si="9"/>
        <v>143000.00000000052</v>
      </c>
      <c r="G81" s="312">
        <f t="shared" si="10"/>
        <v>2586.178447488586</v>
      </c>
      <c r="H81" s="313">
        <v>0</v>
      </c>
      <c r="I81" s="307"/>
      <c r="J81" s="309"/>
      <c r="K81" s="309"/>
    </row>
    <row r="82" spans="1:11" s="300" customFormat="1" ht="21" customHeight="1">
      <c r="A82" s="303">
        <v>42217</v>
      </c>
      <c r="B82" s="304">
        <f t="shared" si="7"/>
        <v>31</v>
      </c>
      <c r="C82" s="307">
        <f t="shared" si="12"/>
        <v>427.0254246575358</v>
      </c>
      <c r="D82" s="310">
        <v>1</v>
      </c>
      <c r="E82" s="311">
        <f t="shared" si="8"/>
        <v>2166.6666666666665</v>
      </c>
      <c r="F82" s="307">
        <f t="shared" si="9"/>
        <v>140833.33333333387</v>
      </c>
      <c r="G82" s="312">
        <f t="shared" si="10"/>
        <v>2593.6920913242025</v>
      </c>
      <c r="H82" s="313">
        <v>0</v>
      </c>
      <c r="I82" s="307"/>
      <c r="J82" s="309"/>
      <c r="K82" s="309"/>
    </row>
    <row r="83" spans="1:11" s="300" customFormat="1" ht="21" customHeight="1">
      <c r="A83" s="303">
        <v>42248</v>
      </c>
      <c r="B83" s="304">
        <f t="shared" si="7"/>
        <v>31</v>
      </c>
      <c r="C83" s="307">
        <f t="shared" si="12"/>
        <v>420.55534246575496</v>
      </c>
      <c r="D83" s="310">
        <v>1</v>
      </c>
      <c r="E83" s="311">
        <f t="shared" si="8"/>
        <v>2166.6666666666665</v>
      </c>
      <c r="F83" s="307">
        <f t="shared" si="9"/>
        <v>138666.6666666672</v>
      </c>
      <c r="G83" s="312">
        <f t="shared" si="10"/>
        <v>2587.2220091324216</v>
      </c>
      <c r="H83" s="313">
        <v>0</v>
      </c>
      <c r="I83" s="307"/>
      <c r="J83" s="309"/>
      <c r="K83" s="309"/>
    </row>
    <row r="84" spans="1:11" s="300" customFormat="1" ht="21" customHeight="1">
      <c r="A84" s="303">
        <v>42278</v>
      </c>
      <c r="B84" s="304">
        <f t="shared" si="7"/>
        <v>30</v>
      </c>
      <c r="C84" s="307">
        <f t="shared" si="12"/>
        <v>400.7276712328782</v>
      </c>
      <c r="D84" s="310">
        <v>1</v>
      </c>
      <c r="E84" s="311">
        <f t="shared" si="8"/>
        <v>2166.6666666666665</v>
      </c>
      <c r="F84" s="307">
        <f t="shared" si="9"/>
        <v>136500.00000000055</v>
      </c>
      <c r="G84" s="312">
        <f t="shared" si="10"/>
        <v>2567.3943378995446</v>
      </c>
      <c r="H84" s="313">
        <v>0</v>
      </c>
      <c r="I84" s="307"/>
      <c r="J84" s="309"/>
      <c r="K84" s="309"/>
    </row>
    <row r="85" spans="1:11" s="300" customFormat="1" ht="21" customHeight="1">
      <c r="A85" s="303">
        <v>42309</v>
      </c>
      <c r="B85" s="304">
        <f t="shared" si="7"/>
        <v>31</v>
      </c>
      <c r="C85" s="307">
        <f t="shared" si="12"/>
        <v>407.6151780821934</v>
      </c>
      <c r="D85" s="310">
        <v>1</v>
      </c>
      <c r="E85" s="311">
        <f t="shared" si="8"/>
        <v>2166.6666666666665</v>
      </c>
      <c r="F85" s="307">
        <f t="shared" si="9"/>
        <v>134333.3333333339</v>
      </c>
      <c r="G85" s="312">
        <f t="shared" si="10"/>
        <v>2574.28184474886</v>
      </c>
      <c r="H85" s="313">
        <v>0</v>
      </c>
      <c r="I85" s="307"/>
      <c r="J85" s="309"/>
      <c r="K85" s="309"/>
    </row>
    <row r="86" spans="1:11" s="300" customFormat="1" ht="21" customHeight="1">
      <c r="A86" s="303">
        <v>42339</v>
      </c>
      <c r="B86" s="304">
        <f t="shared" si="7"/>
        <v>30</v>
      </c>
      <c r="C86" s="307">
        <f aca="true" t="shared" si="13" ref="C86:C117">F85*(B86/$H$16)*$C$8</f>
        <v>388.20493150685087</v>
      </c>
      <c r="D86" s="310">
        <v>1</v>
      </c>
      <c r="E86" s="311">
        <f t="shared" si="8"/>
        <v>2166.6666666666665</v>
      </c>
      <c r="F86" s="307">
        <f t="shared" si="9"/>
        <v>132166.66666666724</v>
      </c>
      <c r="G86" s="312">
        <f t="shared" si="10"/>
        <v>2554.871598173517</v>
      </c>
      <c r="H86" s="313">
        <f>SUM(G75:G86)</f>
        <v>31141.628219178103</v>
      </c>
      <c r="I86" s="307"/>
      <c r="J86" s="309"/>
      <c r="K86" s="309"/>
    </row>
    <row r="87" spans="1:11" s="300" customFormat="1" ht="21" customHeight="1">
      <c r="A87" s="303">
        <v>42370</v>
      </c>
      <c r="B87" s="304">
        <v>31</v>
      </c>
      <c r="C87" s="307">
        <f t="shared" si="13"/>
        <v>394.67501369863174</v>
      </c>
      <c r="D87" s="310">
        <v>1</v>
      </c>
      <c r="E87" s="311">
        <f t="shared" si="8"/>
        <v>2166.6666666666665</v>
      </c>
      <c r="F87" s="307">
        <f t="shared" si="9"/>
        <v>130000.00000000057</v>
      </c>
      <c r="G87" s="312">
        <f t="shared" si="10"/>
        <v>2561.341680365298</v>
      </c>
      <c r="H87" s="313">
        <v>0</v>
      </c>
      <c r="I87" s="307"/>
      <c r="J87" s="309"/>
      <c r="K87" s="309"/>
    </row>
    <row r="88" spans="1:11" s="300" customFormat="1" ht="21" customHeight="1">
      <c r="A88" s="303">
        <v>42401</v>
      </c>
      <c r="B88" s="304">
        <v>28</v>
      </c>
      <c r="C88" s="307">
        <f t="shared" si="13"/>
        <v>350.6367123287686</v>
      </c>
      <c r="D88" s="310">
        <v>1</v>
      </c>
      <c r="E88" s="311">
        <f t="shared" si="8"/>
        <v>2166.6666666666665</v>
      </c>
      <c r="F88" s="307">
        <f t="shared" si="9"/>
        <v>127833.3333333339</v>
      </c>
      <c r="G88" s="312">
        <f t="shared" si="10"/>
        <v>2517.303378995435</v>
      </c>
      <c r="H88" s="313">
        <v>0</v>
      </c>
      <c r="I88" s="307"/>
      <c r="J88" s="309"/>
      <c r="K88" s="309"/>
    </row>
    <row r="89" spans="1:11" s="300" customFormat="1" ht="21" customHeight="1">
      <c r="A89" s="303">
        <v>42430</v>
      </c>
      <c r="B89" s="304">
        <v>31</v>
      </c>
      <c r="C89" s="307">
        <f t="shared" si="13"/>
        <v>381.73484931507016</v>
      </c>
      <c r="D89" s="310">
        <v>1</v>
      </c>
      <c r="E89" s="311">
        <f t="shared" si="8"/>
        <v>2166.6666666666665</v>
      </c>
      <c r="F89" s="307">
        <f t="shared" si="9"/>
        <v>125666.66666666722</v>
      </c>
      <c r="G89" s="312">
        <f t="shared" si="10"/>
        <v>2548.401515981737</v>
      </c>
      <c r="H89" s="313">
        <v>0</v>
      </c>
      <c r="I89" s="307"/>
      <c r="J89" s="309"/>
      <c r="K89" s="309"/>
    </row>
    <row r="90" spans="1:11" s="300" customFormat="1" ht="21" customHeight="1">
      <c r="A90" s="303">
        <v>42461</v>
      </c>
      <c r="B90" s="304">
        <v>30</v>
      </c>
      <c r="C90" s="307">
        <f t="shared" si="13"/>
        <v>363.1594520547961</v>
      </c>
      <c r="D90" s="310">
        <v>1</v>
      </c>
      <c r="E90" s="311">
        <f aca="true" t="shared" si="14" ref="E90:E121">IF(OR(D90=1,D90&gt;1),C$13,0)</f>
        <v>2166.6666666666665</v>
      </c>
      <c r="F90" s="307">
        <f aca="true" t="shared" si="15" ref="F90:F121">F89-E90</f>
        <v>123500.00000000055</v>
      </c>
      <c r="G90" s="312">
        <f aca="true" t="shared" si="16" ref="G90:G121">E90+C90</f>
        <v>2529.8261187214625</v>
      </c>
      <c r="H90" s="313">
        <v>0</v>
      </c>
      <c r="I90" s="307"/>
      <c r="J90" s="309"/>
      <c r="K90" s="309"/>
    </row>
    <row r="91" spans="1:11" s="300" customFormat="1" ht="21" customHeight="1">
      <c r="A91" s="303">
        <v>42491</v>
      </c>
      <c r="B91" s="304">
        <v>31</v>
      </c>
      <c r="C91" s="307">
        <f t="shared" si="13"/>
        <v>368.79468493150847</v>
      </c>
      <c r="D91" s="310">
        <v>1</v>
      </c>
      <c r="E91" s="311">
        <f t="shared" si="14"/>
        <v>2166.6666666666665</v>
      </c>
      <c r="F91" s="307">
        <f t="shared" si="15"/>
        <v>121333.33333333388</v>
      </c>
      <c r="G91" s="312">
        <f t="shared" si="16"/>
        <v>2535.461351598175</v>
      </c>
      <c r="H91" s="313">
        <v>0</v>
      </c>
      <c r="I91" s="307"/>
      <c r="J91" s="309"/>
      <c r="K91" s="309"/>
    </row>
    <row r="92" spans="1:11" s="300" customFormat="1" ht="21" customHeight="1">
      <c r="A92" s="303">
        <v>42522</v>
      </c>
      <c r="B92" s="304">
        <v>30</v>
      </c>
      <c r="C92" s="307">
        <f t="shared" si="13"/>
        <v>350.6367123287686</v>
      </c>
      <c r="D92" s="310">
        <v>1</v>
      </c>
      <c r="E92" s="311">
        <f t="shared" si="14"/>
        <v>2166.6666666666665</v>
      </c>
      <c r="F92" s="307">
        <f t="shared" si="15"/>
        <v>119166.66666666721</v>
      </c>
      <c r="G92" s="312">
        <f t="shared" si="16"/>
        <v>2517.303378995435</v>
      </c>
      <c r="H92" s="313">
        <v>0</v>
      </c>
      <c r="I92" s="307"/>
      <c r="J92" s="309"/>
      <c r="K92" s="309"/>
    </row>
    <row r="93" spans="1:11" s="300" customFormat="1" ht="21" customHeight="1">
      <c r="A93" s="303">
        <v>42552</v>
      </c>
      <c r="B93" s="304">
        <v>31</v>
      </c>
      <c r="C93" s="307">
        <f t="shared" si="13"/>
        <v>355.8545205479468</v>
      </c>
      <c r="D93" s="310">
        <v>1</v>
      </c>
      <c r="E93" s="311">
        <f t="shared" si="14"/>
        <v>2166.6666666666665</v>
      </c>
      <c r="F93" s="307">
        <f t="shared" si="15"/>
        <v>117000.00000000054</v>
      </c>
      <c r="G93" s="312">
        <f t="shared" si="16"/>
        <v>2522.5211872146133</v>
      </c>
      <c r="H93" s="313">
        <v>0</v>
      </c>
      <c r="I93" s="307"/>
      <c r="J93" s="309"/>
      <c r="K93" s="309"/>
    </row>
    <row r="94" spans="1:11" s="300" customFormat="1" ht="21" customHeight="1">
      <c r="A94" s="303">
        <v>42583</v>
      </c>
      <c r="B94" s="304">
        <v>31</v>
      </c>
      <c r="C94" s="307">
        <f t="shared" si="13"/>
        <v>349.38443835616596</v>
      </c>
      <c r="D94" s="310">
        <v>1</v>
      </c>
      <c r="E94" s="311">
        <f t="shared" si="14"/>
        <v>2166.6666666666665</v>
      </c>
      <c r="F94" s="307">
        <f t="shared" si="15"/>
        <v>114833.33333333387</v>
      </c>
      <c r="G94" s="312">
        <f t="shared" si="16"/>
        <v>2516.0511050228324</v>
      </c>
      <c r="H94" s="313">
        <v>0</v>
      </c>
      <c r="I94" s="307"/>
      <c r="J94" s="309"/>
      <c r="K94" s="309"/>
    </row>
    <row r="95" spans="1:11" s="300" customFormat="1" ht="21" customHeight="1">
      <c r="A95" s="303">
        <v>42614</v>
      </c>
      <c r="B95" s="304">
        <v>30</v>
      </c>
      <c r="C95" s="307">
        <f t="shared" si="13"/>
        <v>331.85260273972756</v>
      </c>
      <c r="D95" s="310">
        <v>1</v>
      </c>
      <c r="E95" s="311">
        <f t="shared" si="14"/>
        <v>2166.6666666666665</v>
      </c>
      <c r="F95" s="307">
        <f t="shared" si="15"/>
        <v>112666.6666666672</v>
      </c>
      <c r="G95" s="312">
        <f t="shared" si="16"/>
        <v>2498.519269406394</v>
      </c>
      <c r="H95" s="313">
        <v>0</v>
      </c>
      <c r="I95" s="307"/>
      <c r="J95" s="309"/>
      <c r="K95" s="309"/>
    </row>
    <row r="96" spans="1:11" s="300" customFormat="1" ht="21" customHeight="1">
      <c r="A96" s="303">
        <v>42644</v>
      </c>
      <c r="B96" s="304">
        <v>31</v>
      </c>
      <c r="C96" s="307">
        <f t="shared" si="13"/>
        <v>336.44427397260426</v>
      </c>
      <c r="D96" s="310">
        <v>1</v>
      </c>
      <c r="E96" s="311">
        <f t="shared" si="14"/>
        <v>2166.6666666666665</v>
      </c>
      <c r="F96" s="307">
        <f t="shared" si="15"/>
        <v>110500.00000000052</v>
      </c>
      <c r="G96" s="312">
        <f t="shared" si="16"/>
        <v>2503.1109406392707</v>
      </c>
      <c r="H96" s="313">
        <v>0</v>
      </c>
      <c r="I96" s="307"/>
      <c r="J96" s="309"/>
      <c r="K96" s="309"/>
    </row>
    <row r="97" spans="1:11" s="300" customFormat="1" ht="21" customHeight="1">
      <c r="A97" s="303">
        <v>42675</v>
      </c>
      <c r="B97" s="304">
        <v>30</v>
      </c>
      <c r="C97" s="307">
        <f t="shared" si="13"/>
        <v>319.3298630137001</v>
      </c>
      <c r="D97" s="310">
        <v>1</v>
      </c>
      <c r="E97" s="311">
        <f t="shared" si="14"/>
        <v>2166.6666666666665</v>
      </c>
      <c r="F97" s="307">
        <f t="shared" si="15"/>
        <v>108333.33333333385</v>
      </c>
      <c r="G97" s="312">
        <f t="shared" si="16"/>
        <v>2485.9965296803666</v>
      </c>
      <c r="H97" s="313">
        <v>0</v>
      </c>
      <c r="I97" s="307"/>
      <c r="J97" s="309"/>
      <c r="K97" s="309"/>
    </row>
    <row r="98" spans="1:11" s="300" customFormat="1" ht="21" customHeight="1">
      <c r="A98" s="303">
        <v>42705</v>
      </c>
      <c r="B98" s="304">
        <v>31</v>
      </c>
      <c r="C98" s="307">
        <f t="shared" si="13"/>
        <v>323.50410958904257</v>
      </c>
      <c r="D98" s="310">
        <v>1</v>
      </c>
      <c r="E98" s="311">
        <f t="shared" si="14"/>
        <v>2166.6666666666665</v>
      </c>
      <c r="F98" s="307">
        <f t="shared" si="15"/>
        <v>106166.66666666718</v>
      </c>
      <c r="G98" s="312">
        <f t="shared" si="16"/>
        <v>2490.170776255709</v>
      </c>
      <c r="H98" s="313">
        <f>G87+G88+G89+G90+G91+G92+G93+G94+G95+G96+G97+G98</f>
        <v>30226.007232876735</v>
      </c>
      <c r="I98" s="307"/>
      <c r="J98" s="309"/>
      <c r="K98" s="309"/>
    </row>
    <row r="99" spans="1:11" s="300" customFormat="1" ht="21" customHeight="1">
      <c r="A99" s="303">
        <v>42736</v>
      </c>
      <c r="B99" s="304">
        <v>31</v>
      </c>
      <c r="C99" s="307">
        <f t="shared" si="13"/>
        <v>317.03402739726175</v>
      </c>
      <c r="D99" s="310">
        <v>1</v>
      </c>
      <c r="E99" s="311">
        <f t="shared" si="14"/>
        <v>2166.6666666666665</v>
      </c>
      <c r="F99" s="307">
        <f t="shared" si="15"/>
        <v>104000.00000000051</v>
      </c>
      <c r="G99" s="312">
        <f t="shared" si="16"/>
        <v>2483.7006940639285</v>
      </c>
      <c r="H99" s="313">
        <v>0</v>
      </c>
      <c r="I99" s="307"/>
      <c r="J99" s="309"/>
      <c r="K99" s="309"/>
    </row>
    <row r="100" spans="1:11" s="300" customFormat="1" ht="21" customHeight="1">
      <c r="A100" s="303">
        <v>42767</v>
      </c>
      <c r="B100" s="304">
        <v>28</v>
      </c>
      <c r="C100" s="307">
        <f t="shared" si="13"/>
        <v>280.5093698630151</v>
      </c>
      <c r="D100" s="310">
        <v>1</v>
      </c>
      <c r="E100" s="311">
        <f t="shared" si="14"/>
        <v>2166.6666666666665</v>
      </c>
      <c r="F100" s="307">
        <f t="shared" si="15"/>
        <v>101833.33333333384</v>
      </c>
      <c r="G100" s="312">
        <f t="shared" si="16"/>
        <v>2447.1760365296814</v>
      </c>
      <c r="H100" s="313">
        <v>0</v>
      </c>
      <c r="I100" s="307"/>
      <c r="J100" s="309"/>
      <c r="K100" s="309"/>
    </row>
    <row r="101" spans="1:11" s="300" customFormat="1" ht="21" customHeight="1">
      <c r="A101" s="303">
        <v>42795</v>
      </c>
      <c r="B101" s="304">
        <v>31</v>
      </c>
      <c r="C101" s="307">
        <f t="shared" si="13"/>
        <v>304.09386301370006</v>
      </c>
      <c r="D101" s="310">
        <v>1</v>
      </c>
      <c r="E101" s="311">
        <f t="shared" si="14"/>
        <v>2166.6666666666665</v>
      </c>
      <c r="F101" s="307">
        <f t="shared" si="15"/>
        <v>99666.66666666717</v>
      </c>
      <c r="G101" s="312">
        <f t="shared" si="16"/>
        <v>2470.7605296803667</v>
      </c>
      <c r="H101" s="313">
        <v>0</v>
      </c>
      <c r="I101" s="307"/>
      <c r="J101" s="309"/>
      <c r="K101" s="309"/>
    </row>
    <row r="102" spans="1:11" s="300" customFormat="1" ht="21" customHeight="1">
      <c r="A102" s="303">
        <v>42826</v>
      </c>
      <c r="B102" s="304">
        <v>30</v>
      </c>
      <c r="C102" s="307">
        <f t="shared" si="13"/>
        <v>288.02301369863153</v>
      </c>
      <c r="D102" s="310">
        <v>1</v>
      </c>
      <c r="E102" s="311">
        <f t="shared" si="14"/>
        <v>2166.6666666666665</v>
      </c>
      <c r="F102" s="307">
        <f t="shared" si="15"/>
        <v>97500.0000000005</v>
      </c>
      <c r="G102" s="312">
        <f t="shared" si="16"/>
        <v>2454.689680365298</v>
      </c>
      <c r="H102" s="313">
        <v>0</v>
      </c>
      <c r="I102" s="307"/>
      <c r="J102" s="309"/>
      <c r="K102" s="309"/>
    </row>
    <row r="103" spans="1:11" s="300" customFormat="1" ht="21" customHeight="1">
      <c r="A103" s="303">
        <v>42856</v>
      </c>
      <c r="B103" s="304">
        <v>31</v>
      </c>
      <c r="C103" s="307">
        <f t="shared" si="13"/>
        <v>291.1536986301385</v>
      </c>
      <c r="D103" s="310">
        <v>1</v>
      </c>
      <c r="E103" s="311">
        <f t="shared" si="14"/>
        <v>2166.6666666666665</v>
      </c>
      <c r="F103" s="307">
        <f t="shared" si="15"/>
        <v>95333.33333333382</v>
      </c>
      <c r="G103" s="312">
        <f t="shared" si="16"/>
        <v>2457.820365296805</v>
      </c>
      <c r="H103" s="313">
        <v>0</v>
      </c>
      <c r="I103" s="307"/>
      <c r="J103" s="309"/>
      <c r="K103" s="309"/>
    </row>
    <row r="104" spans="1:11" s="300" customFormat="1" ht="21" customHeight="1">
      <c r="A104" s="303">
        <v>42887</v>
      </c>
      <c r="B104" s="304">
        <v>30</v>
      </c>
      <c r="C104" s="307">
        <f t="shared" si="13"/>
        <v>275.50027397260413</v>
      </c>
      <c r="D104" s="310">
        <v>1</v>
      </c>
      <c r="E104" s="311">
        <f t="shared" si="14"/>
        <v>2166.6666666666665</v>
      </c>
      <c r="F104" s="307">
        <f t="shared" si="15"/>
        <v>93166.66666666715</v>
      </c>
      <c r="G104" s="312">
        <f t="shared" si="16"/>
        <v>2442.1669406392707</v>
      </c>
      <c r="H104" s="313">
        <v>0</v>
      </c>
      <c r="I104" s="307"/>
      <c r="J104" s="309"/>
      <c r="K104" s="309"/>
    </row>
    <row r="105" spans="1:11" s="300" customFormat="1" ht="21" customHeight="1">
      <c r="A105" s="303">
        <v>42917</v>
      </c>
      <c r="B105" s="304">
        <v>31</v>
      </c>
      <c r="C105" s="307">
        <f t="shared" si="13"/>
        <v>278.2135342465768</v>
      </c>
      <c r="D105" s="310">
        <v>1</v>
      </c>
      <c r="E105" s="311">
        <f t="shared" si="14"/>
        <v>2166.6666666666665</v>
      </c>
      <c r="F105" s="307">
        <f t="shared" si="15"/>
        <v>91000.00000000048</v>
      </c>
      <c r="G105" s="312">
        <f t="shared" si="16"/>
        <v>2444.8802009132432</v>
      </c>
      <c r="H105" s="313">
        <v>0</v>
      </c>
      <c r="I105" s="307"/>
      <c r="J105" s="309"/>
      <c r="K105" s="309"/>
    </row>
    <row r="106" spans="1:11" s="300" customFormat="1" ht="21" customHeight="1">
      <c r="A106" s="303">
        <v>42948</v>
      </c>
      <c r="B106" s="304">
        <v>31</v>
      </c>
      <c r="C106" s="307">
        <f t="shared" si="13"/>
        <v>271.7434520547959</v>
      </c>
      <c r="D106" s="310">
        <v>1</v>
      </c>
      <c r="E106" s="311">
        <f t="shared" si="14"/>
        <v>2166.6666666666665</v>
      </c>
      <c r="F106" s="307">
        <f t="shared" si="15"/>
        <v>88833.33333333381</v>
      </c>
      <c r="G106" s="312">
        <f t="shared" si="16"/>
        <v>2438.4101187214624</v>
      </c>
      <c r="H106" s="313">
        <v>0</v>
      </c>
      <c r="I106" s="307"/>
      <c r="J106" s="309"/>
      <c r="K106" s="309"/>
    </row>
    <row r="107" spans="1:11" s="300" customFormat="1" ht="21" customHeight="1">
      <c r="A107" s="303">
        <v>42979</v>
      </c>
      <c r="B107" s="304">
        <v>30</v>
      </c>
      <c r="C107" s="307">
        <f t="shared" si="13"/>
        <v>256.71616438356295</v>
      </c>
      <c r="D107" s="310">
        <v>1</v>
      </c>
      <c r="E107" s="311">
        <f t="shared" si="14"/>
        <v>2166.6666666666665</v>
      </c>
      <c r="F107" s="307">
        <f t="shared" si="15"/>
        <v>86666.66666666714</v>
      </c>
      <c r="G107" s="312">
        <f t="shared" si="16"/>
        <v>2423.3828310502295</v>
      </c>
      <c r="H107" s="313">
        <v>0</v>
      </c>
      <c r="I107" s="307"/>
      <c r="J107" s="309"/>
      <c r="K107" s="309"/>
    </row>
    <row r="108" spans="1:11" s="300" customFormat="1" ht="21" customHeight="1">
      <c r="A108" s="303">
        <v>43009</v>
      </c>
      <c r="B108" s="304">
        <v>31</v>
      </c>
      <c r="C108" s="307">
        <f t="shared" si="13"/>
        <v>258.8032876712342</v>
      </c>
      <c r="D108" s="310">
        <v>1</v>
      </c>
      <c r="E108" s="311">
        <f t="shared" si="14"/>
        <v>2166.6666666666665</v>
      </c>
      <c r="F108" s="307">
        <f t="shared" si="15"/>
        <v>84500.00000000047</v>
      </c>
      <c r="G108" s="312">
        <f t="shared" si="16"/>
        <v>2425.4699543379006</v>
      </c>
      <c r="H108" s="313">
        <v>0</v>
      </c>
      <c r="I108" s="307"/>
      <c r="J108" s="309"/>
      <c r="K108" s="309"/>
    </row>
    <row r="109" spans="1:11" s="300" customFormat="1" ht="21" customHeight="1">
      <c r="A109" s="303">
        <v>43040</v>
      </c>
      <c r="B109" s="304">
        <v>30</v>
      </c>
      <c r="C109" s="307">
        <f t="shared" si="13"/>
        <v>244.19342465753556</v>
      </c>
      <c r="D109" s="310">
        <v>1</v>
      </c>
      <c r="E109" s="311">
        <f t="shared" si="14"/>
        <v>2166.6666666666665</v>
      </c>
      <c r="F109" s="307">
        <f t="shared" si="15"/>
        <v>82333.3333333338</v>
      </c>
      <c r="G109" s="312">
        <f t="shared" si="16"/>
        <v>2410.860091324202</v>
      </c>
      <c r="H109" s="313">
        <v>0</v>
      </c>
      <c r="I109" s="307"/>
      <c r="J109" s="309"/>
      <c r="K109" s="309"/>
    </row>
    <row r="110" spans="1:11" s="300" customFormat="1" ht="21" customHeight="1">
      <c r="A110" s="303">
        <v>43070</v>
      </c>
      <c r="B110" s="304">
        <v>31</v>
      </c>
      <c r="C110" s="307">
        <f t="shared" si="13"/>
        <v>245.86312328767258</v>
      </c>
      <c r="D110" s="310">
        <v>1</v>
      </c>
      <c r="E110" s="311">
        <f t="shared" si="14"/>
        <v>2166.6666666666665</v>
      </c>
      <c r="F110" s="307">
        <f t="shared" si="15"/>
        <v>80166.66666666712</v>
      </c>
      <c r="G110" s="312">
        <f t="shared" si="16"/>
        <v>2412.5297899543393</v>
      </c>
      <c r="H110" s="313">
        <f>G99+G101+G100+G102+G103+G104+G105+G106+G107+G108+G109+G110</f>
        <v>29311.847232876724</v>
      </c>
      <c r="I110" s="307"/>
      <c r="J110" s="309"/>
      <c r="K110" s="309"/>
    </row>
    <row r="111" spans="1:11" s="300" customFormat="1" ht="21" customHeight="1">
      <c r="A111" s="303">
        <v>43101</v>
      </c>
      <c r="B111" s="304">
        <v>31</v>
      </c>
      <c r="C111" s="307">
        <f t="shared" si="13"/>
        <v>239.39304109589173</v>
      </c>
      <c r="D111" s="310">
        <v>1</v>
      </c>
      <c r="E111" s="311">
        <f t="shared" si="14"/>
        <v>2166.6666666666665</v>
      </c>
      <c r="F111" s="307">
        <f t="shared" si="15"/>
        <v>78000.00000000045</v>
      </c>
      <c r="G111" s="312">
        <f t="shared" si="16"/>
        <v>2406.0597077625584</v>
      </c>
      <c r="H111" s="313">
        <v>0</v>
      </c>
      <c r="I111" s="307"/>
      <c r="J111" s="309"/>
      <c r="K111" s="309"/>
    </row>
    <row r="112" spans="1:11" s="300" customFormat="1" ht="21" customHeight="1">
      <c r="A112" s="303">
        <v>43132</v>
      </c>
      <c r="B112" s="304">
        <v>28</v>
      </c>
      <c r="C112" s="307">
        <f t="shared" si="13"/>
        <v>210.38202739726148</v>
      </c>
      <c r="D112" s="310">
        <v>1</v>
      </c>
      <c r="E112" s="311">
        <f t="shared" si="14"/>
        <v>2166.6666666666665</v>
      </c>
      <c r="F112" s="307">
        <f t="shared" si="15"/>
        <v>75833.33333333378</v>
      </c>
      <c r="G112" s="312">
        <f t="shared" si="16"/>
        <v>2377.048694063928</v>
      </c>
      <c r="H112" s="313">
        <v>0</v>
      </c>
      <c r="I112" s="307"/>
      <c r="J112" s="309"/>
      <c r="K112" s="309"/>
    </row>
    <row r="113" spans="1:11" s="300" customFormat="1" ht="21" customHeight="1">
      <c r="A113" s="303">
        <v>43160</v>
      </c>
      <c r="B113" s="304">
        <v>31</v>
      </c>
      <c r="C113" s="307">
        <f t="shared" si="13"/>
        <v>226.4528767123301</v>
      </c>
      <c r="D113" s="310">
        <v>1</v>
      </c>
      <c r="E113" s="311">
        <f t="shared" si="14"/>
        <v>2166.6666666666665</v>
      </c>
      <c r="F113" s="307">
        <f t="shared" si="15"/>
        <v>73666.66666666711</v>
      </c>
      <c r="G113" s="312">
        <f t="shared" si="16"/>
        <v>2393.1195433789967</v>
      </c>
      <c r="H113" s="313">
        <v>0</v>
      </c>
      <c r="I113" s="307"/>
      <c r="J113" s="309"/>
      <c r="K113" s="309"/>
    </row>
    <row r="114" spans="1:11" s="300" customFormat="1" ht="21" customHeight="1">
      <c r="A114" s="303">
        <v>43191</v>
      </c>
      <c r="B114" s="304">
        <v>30</v>
      </c>
      <c r="C114" s="307">
        <f t="shared" si="13"/>
        <v>212.88657534246698</v>
      </c>
      <c r="D114" s="310">
        <v>1</v>
      </c>
      <c r="E114" s="311">
        <f t="shared" si="14"/>
        <v>2166.6666666666665</v>
      </c>
      <c r="F114" s="307">
        <f t="shared" si="15"/>
        <v>71500.00000000044</v>
      </c>
      <c r="G114" s="312">
        <f t="shared" si="16"/>
        <v>2379.5532420091336</v>
      </c>
      <c r="H114" s="313">
        <v>0</v>
      </c>
      <c r="I114" s="307"/>
      <c r="J114" s="309"/>
      <c r="K114" s="309"/>
    </row>
    <row r="115" spans="1:11" s="300" customFormat="1" ht="21" customHeight="1">
      <c r="A115" s="303">
        <v>43221</v>
      </c>
      <c r="B115" s="304">
        <v>31</v>
      </c>
      <c r="C115" s="307">
        <f t="shared" si="13"/>
        <v>213.5127123287684</v>
      </c>
      <c r="D115" s="310">
        <v>1</v>
      </c>
      <c r="E115" s="311">
        <f t="shared" si="14"/>
        <v>2166.6666666666665</v>
      </c>
      <c r="F115" s="307">
        <f t="shared" si="15"/>
        <v>69333.33333333377</v>
      </c>
      <c r="G115" s="312">
        <f t="shared" si="16"/>
        <v>2380.179378995435</v>
      </c>
      <c r="H115" s="313">
        <v>0</v>
      </c>
      <c r="I115" s="307"/>
      <c r="J115" s="309"/>
      <c r="K115" s="309"/>
    </row>
    <row r="116" spans="1:11" s="300" customFormat="1" ht="21" customHeight="1">
      <c r="A116" s="303">
        <v>43252</v>
      </c>
      <c r="B116" s="304">
        <v>30</v>
      </c>
      <c r="C116" s="307">
        <f t="shared" si="13"/>
        <v>200.3638356164396</v>
      </c>
      <c r="D116" s="310">
        <v>1</v>
      </c>
      <c r="E116" s="311">
        <f t="shared" si="14"/>
        <v>2166.6666666666665</v>
      </c>
      <c r="F116" s="307">
        <f t="shared" si="15"/>
        <v>67166.6666666671</v>
      </c>
      <c r="G116" s="312">
        <f t="shared" si="16"/>
        <v>2367.030502283106</v>
      </c>
      <c r="H116" s="313">
        <v>0</v>
      </c>
      <c r="I116" s="307"/>
      <c r="J116" s="309"/>
      <c r="K116" s="309"/>
    </row>
    <row r="117" spans="1:11" s="300" customFormat="1" ht="21" customHeight="1">
      <c r="A117" s="303">
        <v>43282</v>
      </c>
      <c r="B117" s="304">
        <v>31</v>
      </c>
      <c r="C117" s="307">
        <f t="shared" si="13"/>
        <v>200.57254794520674</v>
      </c>
      <c r="D117" s="310">
        <v>1</v>
      </c>
      <c r="E117" s="311">
        <f t="shared" si="14"/>
        <v>2166.6666666666665</v>
      </c>
      <c r="F117" s="307">
        <f t="shared" si="15"/>
        <v>65000.00000000043</v>
      </c>
      <c r="G117" s="312">
        <f t="shared" si="16"/>
        <v>2367.239214611873</v>
      </c>
      <c r="H117" s="313">
        <v>0</v>
      </c>
      <c r="I117" s="307"/>
      <c r="J117" s="309"/>
      <c r="K117" s="309"/>
    </row>
    <row r="118" spans="1:11" s="300" customFormat="1" ht="21" customHeight="1">
      <c r="A118" s="303">
        <v>43313</v>
      </c>
      <c r="B118" s="304">
        <v>31</v>
      </c>
      <c r="C118" s="307">
        <f aca="true" t="shared" si="17" ref="C118:C147">F117*(B118/$H$16)*$C$8</f>
        <v>194.10246575342592</v>
      </c>
      <c r="D118" s="310">
        <v>1</v>
      </c>
      <c r="E118" s="311">
        <f t="shared" si="14"/>
        <v>2166.6666666666665</v>
      </c>
      <c r="F118" s="307">
        <f t="shared" si="15"/>
        <v>62833.333333333765</v>
      </c>
      <c r="G118" s="312">
        <f t="shared" si="16"/>
        <v>2360.7691324200923</v>
      </c>
      <c r="H118" s="313">
        <v>0</v>
      </c>
      <c r="I118" s="307"/>
      <c r="J118" s="309"/>
      <c r="K118" s="309"/>
    </row>
    <row r="119" spans="1:11" s="300" customFormat="1" ht="21" customHeight="1">
      <c r="A119" s="303">
        <v>43344</v>
      </c>
      <c r="B119" s="304">
        <v>30</v>
      </c>
      <c r="C119" s="307">
        <f t="shared" si="17"/>
        <v>181.5797260273985</v>
      </c>
      <c r="D119" s="310">
        <v>1</v>
      </c>
      <c r="E119" s="311">
        <f t="shared" si="14"/>
        <v>2166.6666666666665</v>
      </c>
      <c r="F119" s="307">
        <f t="shared" si="15"/>
        <v>60666.6666666671</v>
      </c>
      <c r="G119" s="312">
        <f t="shared" si="16"/>
        <v>2348.246392694065</v>
      </c>
      <c r="H119" s="313">
        <v>0</v>
      </c>
      <c r="I119" s="307"/>
      <c r="J119" s="309"/>
      <c r="K119" s="309"/>
    </row>
    <row r="120" spans="1:11" s="300" customFormat="1" ht="21" customHeight="1">
      <c r="A120" s="303">
        <v>43374</v>
      </c>
      <c r="B120" s="304">
        <v>31</v>
      </c>
      <c r="C120" s="307">
        <f t="shared" si="17"/>
        <v>181.1623013698643</v>
      </c>
      <c r="D120" s="310">
        <v>1</v>
      </c>
      <c r="E120" s="311">
        <f t="shared" si="14"/>
        <v>2166.6666666666665</v>
      </c>
      <c r="F120" s="307">
        <f t="shared" si="15"/>
        <v>58500.00000000044</v>
      </c>
      <c r="G120" s="312">
        <f t="shared" si="16"/>
        <v>2347.828968036531</v>
      </c>
      <c r="H120" s="313">
        <v>0</v>
      </c>
      <c r="I120" s="307"/>
      <c r="J120" s="309"/>
      <c r="K120" s="309"/>
    </row>
    <row r="121" spans="1:11" s="300" customFormat="1" ht="21" customHeight="1">
      <c r="A121" s="303">
        <v>43405</v>
      </c>
      <c r="B121" s="304">
        <v>30</v>
      </c>
      <c r="C121" s="307">
        <f t="shared" si="17"/>
        <v>169.0569863013711</v>
      </c>
      <c r="D121" s="310">
        <v>1</v>
      </c>
      <c r="E121" s="311">
        <f t="shared" si="14"/>
        <v>2166.6666666666665</v>
      </c>
      <c r="F121" s="307">
        <f t="shared" si="15"/>
        <v>56333.33333333377</v>
      </c>
      <c r="G121" s="312">
        <f t="shared" si="16"/>
        <v>2335.7236529680376</v>
      </c>
      <c r="H121" s="313">
        <v>0</v>
      </c>
      <c r="I121" s="307"/>
      <c r="J121" s="309"/>
      <c r="K121" s="309"/>
    </row>
    <row r="122" spans="1:11" s="300" customFormat="1" ht="21" customHeight="1">
      <c r="A122" s="303">
        <v>43435</v>
      </c>
      <c r="B122" s="304">
        <v>31</v>
      </c>
      <c r="C122" s="307">
        <f t="shared" si="17"/>
        <v>168.22213698630264</v>
      </c>
      <c r="D122" s="310">
        <v>1</v>
      </c>
      <c r="E122" s="311">
        <f aca="true" t="shared" si="18" ref="E122:E147">IF(OR(D122=1,D122&gt;1),C$13,0)</f>
        <v>2166.6666666666665</v>
      </c>
      <c r="F122" s="307">
        <f aca="true" t="shared" si="19" ref="F122:F146">F121-E122</f>
        <v>54166.66666666711</v>
      </c>
      <c r="G122" s="312">
        <f aca="true" t="shared" si="20" ref="G122:G148">E122+C122</f>
        <v>2334.8888036529693</v>
      </c>
      <c r="H122" s="313">
        <f>SUM(G111:G122)</f>
        <v>28397.687232876724</v>
      </c>
      <c r="I122" s="307"/>
      <c r="J122" s="309"/>
      <c r="K122" s="309"/>
    </row>
    <row r="123" spans="1:11" s="300" customFormat="1" ht="21" customHeight="1">
      <c r="A123" s="303">
        <v>43466</v>
      </c>
      <c r="B123" s="304">
        <v>31</v>
      </c>
      <c r="C123" s="307">
        <f t="shared" si="17"/>
        <v>161.75205479452183</v>
      </c>
      <c r="D123" s="310">
        <v>1</v>
      </c>
      <c r="E123" s="311">
        <f t="shared" si="18"/>
        <v>2166.6666666666665</v>
      </c>
      <c r="F123" s="307">
        <f t="shared" si="19"/>
        <v>52000.000000000444</v>
      </c>
      <c r="G123" s="312">
        <f t="shared" si="20"/>
        <v>2328.4187214611884</v>
      </c>
      <c r="H123" s="313">
        <v>0</v>
      </c>
      <c r="I123" s="307"/>
      <c r="J123" s="309"/>
      <c r="K123" s="309"/>
    </row>
    <row r="124" spans="1:11" s="300" customFormat="1" ht="21" customHeight="1">
      <c r="A124" s="303">
        <v>43497</v>
      </c>
      <c r="B124" s="304">
        <v>28</v>
      </c>
      <c r="C124" s="307">
        <f t="shared" si="17"/>
        <v>140.25468493150805</v>
      </c>
      <c r="D124" s="310">
        <v>1</v>
      </c>
      <c r="E124" s="311">
        <f t="shared" si="18"/>
        <v>2166.6666666666665</v>
      </c>
      <c r="F124" s="307">
        <f t="shared" si="19"/>
        <v>49833.33333333378</v>
      </c>
      <c r="G124" s="312">
        <f t="shared" si="20"/>
        <v>2306.9213515981746</v>
      </c>
      <c r="H124" s="313">
        <v>0</v>
      </c>
      <c r="I124" s="307"/>
      <c r="J124" s="309"/>
      <c r="K124" s="309"/>
    </row>
    <row r="125" spans="1:11" s="300" customFormat="1" ht="21" customHeight="1">
      <c r="A125" s="303">
        <v>43525</v>
      </c>
      <c r="B125" s="304">
        <v>31</v>
      </c>
      <c r="C125" s="307">
        <f t="shared" si="17"/>
        <v>148.81189041096022</v>
      </c>
      <c r="D125" s="310">
        <v>1</v>
      </c>
      <c r="E125" s="311">
        <f t="shared" si="18"/>
        <v>2166.6666666666665</v>
      </c>
      <c r="F125" s="307">
        <f t="shared" si="19"/>
        <v>47666.666666667115</v>
      </c>
      <c r="G125" s="312">
        <f t="shared" si="20"/>
        <v>2315.4785570776266</v>
      </c>
      <c r="H125" s="313">
        <v>0</v>
      </c>
      <c r="I125" s="307"/>
      <c r="J125" s="309"/>
      <c r="K125" s="309"/>
    </row>
    <row r="126" spans="1:11" s="300" customFormat="1" ht="21" customHeight="1">
      <c r="A126" s="303">
        <v>43556</v>
      </c>
      <c r="B126" s="304">
        <v>30</v>
      </c>
      <c r="C126" s="307">
        <f t="shared" si="17"/>
        <v>137.75013698630264</v>
      </c>
      <c r="D126" s="310">
        <v>1</v>
      </c>
      <c r="E126" s="311">
        <f t="shared" si="18"/>
        <v>2166.6666666666665</v>
      </c>
      <c r="F126" s="307">
        <f t="shared" si="19"/>
        <v>45500.00000000045</v>
      </c>
      <c r="G126" s="312">
        <f t="shared" si="20"/>
        <v>2304.416803652969</v>
      </c>
      <c r="H126" s="313">
        <v>0</v>
      </c>
      <c r="I126" s="307"/>
      <c r="J126" s="309"/>
      <c r="K126" s="309"/>
    </row>
    <row r="127" spans="1:11" s="300" customFormat="1" ht="21" customHeight="1">
      <c r="A127" s="303">
        <v>43586</v>
      </c>
      <c r="B127" s="304">
        <v>31</v>
      </c>
      <c r="C127" s="307">
        <f t="shared" si="17"/>
        <v>135.87172602739858</v>
      </c>
      <c r="D127" s="310">
        <v>1</v>
      </c>
      <c r="E127" s="311">
        <f t="shared" si="18"/>
        <v>2166.6666666666665</v>
      </c>
      <c r="F127" s="307">
        <f t="shared" si="19"/>
        <v>43333.33333333379</v>
      </c>
      <c r="G127" s="312">
        <f t="shared" si="20"/>
        <v>2302.538392694065</v>
      </c>
      <c r="H127" s="313">
        <v>0</v>
      </c>
      <c r="I127" s="307"/>
      <c r="J127" s="309"/>
      <c r="K127" s="309"/>
    </row>
    <row r="128" spans="1:11" s="300" customFormat="1" ht="21" customHeight="1">
      <c r="A128" s="303">
        <v>43617</v>
      </c>
      <c r="B128" s="304">
        <v>30</v>
      </c>
      <c r="C128" s="307">
        <f t="shared" si="17"/>
        <v>125.22739726027527</v>
      </c>
      <c r="D128" s="310">
        <v>1</v>
      </c>
      <c r="E128" s="311">
        <f t="shared" si="18"/>
        <v>2166.6666666666665</v>
      </c>
      <c r="F128" s="307">
        <f t="shared" si="19"/>
        <v>41166.66666666712</v>
      </c>
      <c r="G128" s="312">
        <f t="shared" si="20"/>
        <v>2291.8940639269417</v>
      </c>
      <c r="H128" s="313">
        <v>0</v>
      </c>
      <c r="I128" s="307"/>
      <c r="J128" s="309"/>
      <c r="K128" s="309"/>
    </row>
    <row r="129" spans="1:11" s="300" customFormat="1" ht="21" customHeight="1">
      <c r="A129" s="303">
        <v>43647</v>
      </c>
      <c r="B129" s="304">
        <v>31</v>
      </c>
      <c r="C129" s="307">
        <f t="shared" si="17"/>
        <v>122.93156164383696</v>
      </c>
      <c r="D129" s="310">
        <v>1</v>
      </c>
      <c r="E129" s="311">
        <f t="shared" si="18"/>
        <v>2166.6666666666665</v>
      </c>
      <c r="F129" s="307">
        <f t="shared" si="19"/>
        <v>39000.00000000046</v>
      </c>
      <c r="G129" s="312">
        <f t="shared" si="20"/>
        <v>2289.5982283105036</v>
      </c>
      <c r="H129" s="313">
        <v>0</v>
      </c>
      <c r="I129" s="307"/>
      <c r="J129" s="309"/>
      <c r="K129" s="309"/>
    </row>
    <row r="130" spans="1:11" s="300" customFormat="1" ht="21" customHeight="1">
      <c r="A130" s="303">
        <v>43678</v>
      </c>
      <c r="B130" s="304">
        <v>31</v>
      </c>
      <c r="C130" s="307">
        <f t="shared" si="17"/>
        <v>116.46147945205615</v>
      </c>
      <c r="D130" s="310">
        <v>1</v>
      </c>
      <c r="E130" s="311">
        <f t="shared" si="18"/>
        <v>2166.6666666666665</v>
      </c>
      <c r="F130" s="307">
        <f t="shared" si="19"/>
        <v>36833.333333333794</v>
      </c>
      <c r="G130" s="312">
        <f t="shared" si="20"/>
        <v>2283.1281461187227</v>
      </c>
      <c r="H130" s="313">
        <v>0</v>
      </c>
      <c r="I130" s="307"/>
      <c r="J130" s="309"/>
      <c r="K130" s="309"/>
    </row>
    <row r="131" spans="1:11" s="300" customFormat="1" ht="21" customHeight="1">
      <c r="A131" s="303">
        <v>43709</v>
      </c>
      <c r="B131" s="304">
        <v>30</v>
      </c>
      <c r="C131" s="307">
        <f t="shared" si="17"/>
        <v>106.4432876712342</v>
      </c>
      <c r="D131" s="310">
        <v>1</v>
      </c>
      <c r="E131" s="311">
        <f t="shared" si="18"/>
        <v>2166.6666666666665</v>
      </c>
      <c r="F131" s="307">
        <f t="shared" si="19"/>
        <v>34666.66666666713</v>
      </c>
      <c r="G131" s="312">
        <f t="shared" si="20"/>
        <v>2273.1099543379005</v>
      </c>
      <c r="H131" s="313">
        <v>0</v>
      </c>
      <c r="I131" s="307"/>
      <c r="J131" s="309"/>
      <c r="K131" s="309"/>
    </row>
    <row r="132" spans="1:11" s="300" customFormat="1" ht="21" customHeight="1">
      <c r="A132" s="303">
        <v>43739</v>
      </c>
      <c r="B132" s="304">
        <v>31</v>
      </c>
      <c r="C132" s="307">
        <f t="shared" si="17"/>
        <v>103.52131506849453</v>
      </c>
      <c r="D132" s="310">
        <v>1</v>
      </c>
      <c r="E132" s="311">
        <f t="shared" si="18"/>
        <v>2166.6666666666665</v>
      </c>
      <c r="F132" s="307">
        <f t="shared" si="19"/>
        <v>32500.000000000462</v>
      </c>
      <c r="G132" s="312">
        <f t="shared" si="20"/>
        <v>2270.187981735161</v>
      </c>
      <c r="H132" s="313">
        <v>0</v>
      </c>
      <c r="I132" s="307"/>
      <c r="J132" s="309"/>
      <c r="K132" s="309"/>
    </row>
    <row r="133" spans="1:11" s="300" customFormat="1" ht="21" customHeight="1">
      <c r="A133" s="303">
        <v>43770</v>
      </c>
      <c r="B133" s="304">
        <v>30</v>
      </c>
      <c r="C133" s="307">
        <f t="shared" si="17"/>
        <v>93.9205479452068</v>
      </c>
      <c r="D133" s="310">
        <v>1</v>
      </c>
      <c r="E133" s="311">
        <f t="shared" si="18"/>
        <v>2166.6666666666665</v>
      </c>
      <c r="F133" s="307">
        <f t="shared" si="19"/>
        <v>30333.333333333794</v>
      </c>
      <c r="G133" s="312">
        <f t="shared" si="20"/>
        <v>2260.587214611873</v>
      </c>
      <c r="H133" s="313">
        <v>0</v>
      </c>
      <c r="I133" s="307"/>
      <c r="J133" s="309"/>
      <c r="K133" s="309"/>
    </row>
    <row r="134" spans="1:11" s="300" customFormat="1" ht="21" customHeight="1">
      <c r="A134" s="303">
        <v>43800</v>
      </c>
      <c r="B134" s="304">
        <v>31</v>
      </c>
      <c r="C134" s="307">
        <f t="shared" si="17"/>
        <v>90.58115068493287</v>
      </c>
      <c r="D134" s="310">
        <v>1</v>
      </c>
      <c r="E134" s="311">
        <f t="shared" si="18"/>
        <v>2166.6666666666665</v>
      </c>
      <c r="F134" s="307">
        <f t="shared" si="19"/>
        <v>28166.666666667126</v>
      </c>
      <c r="G134" s="312">
        <f t="shared" si="20"/>
        <v>2257.247817351599</v>
      </c>
      <c r="H134" s="313">
        <f>SUM(G123:G134)</f>
        <v>27483.52723287673</v>
      </c>
      <c r="I134" s="307"/>
      <c r="J134" s="309"/>
      <c r="K134" s="309"/>
    </row>
    <row r="135" spans="1:11" s="300" customFormat="1" ht="21" customHeight="1">
      <c r="A135" s="303">
        <v>43831</v>
      </c>
      <c r="B135" s="304">
        <v>31</v>
      </c>
      <c r="C135" s="307">
        <f t="shared" si="17"/>
        <v>84.11106849315205</v>
      </c>
      <c r="D135" s="310">
        <v>1</v>
      </c>
      <c r="E135" s="311">
        <f t="shared" si="18"/>
        <v>2166.6666666666665</v>
      </c>
      <c r="F135" s="307">
        <f t="shared" si="19"/>
        <v>26000.00000000046</v>
      </c>
      <c r="G135" s="312">
        <f t="shared" si="20"/>
        <v>2250.7777351598183</v>
      </c>
      <c r="H135" s="313">
        <v>0</v>
      </c>
      <c r="I135" s="307"/>
      <c r="J135" s="309"/>
      <c r="K135" s="309"/>
    </row>
    <row r="136" spans="1:11" s="300" customFormat="1" ht="21" customHeight="1">
      <c r="A136" s="303">
        <v>43862</v>
      </c>
      <c r="B136" s="304">
        <v>28</v>
      </c>
      <c r="C136" s="307">
        <f t="shared" si="17"/>
        <v>70.12734246575465</v>
      </c>
      <c r="D136" s="310">
        <v>1</v>
      </c>
      <c r="E136" s="311">
        <f t="shared" si="18"/>
        <v>2166.6666666666665</v>
      </c>
      <c r="F136" s="307">
        <f t="shared" si="19"/>
        <v>23833.33333333379</v>
      </c>
      <c r="G136" s="312">
        <f t="shared" si="20"/>
        <v>2236.7940091324213</v>
      </c>
      <c r="H136" s="313">
        <v>0</v>
      </c>
      <c r="I136" s="307"/>
      <c r="J136" s="309"/>
      <c r="K136" s="309"/>
    </row>
    <row r="137" spans="1:11" s="300" customFormat="1" ht="21" customHeight="1">
      <c r="A137" s="303">
        <v>43891</v>
      </c>
      <c r="B137" s="304">
        <v>31</v>
      </c>
      <c r="C137" s="307">
        <f t="shared" si="17"/>
        <v>71.1709041095904</v>
      </c>
      <c r="D137" s="310">
        <v>1</v>
      </c>
      <c r="E137" s="311">
        <f t="shared" si="18"/>
        <v>2166.6666666666665</v>
      </c>
      <c r="F137" s="307">
        <f t="shared" si="19"/>
        <v>21666.666666667123</v>
      </c>
      <c r="G137" s="312">
        <f t="shared" si="20"/>
        <v>2237.837570776257</v>
      </c>
      <c r="H137" s="313">
        <v>0</v>
      </c>
      <c r="I137" s="307"/>
      <c r="J137" s="309"/>
      <c r="K137" s="309"/>
    </row>
    <row r="138" spans="1:11" s="300" customFormat="1" ht="21" customHeight="1">
      <c r="A138" s="303">
        <v>43922</v>
      </c>
      <c r="B138" s="304">
        <v>30</v>
      </c>
      <c r="C138" s="307">
        <f t="shared" si="17"/>
        <v>62.613698630138295</v>
      </c>
      <c r="D138" s="310">
        <v>1</v>
      </c>
      <c r="E138" s="311">
        <f t="shared" si="18"/>
        <v>2166.6666666666665</v>
      </c>
      <c r="F138" s="307">
        <f t="shared" si="19"/>
        <v>19500.000000000455</v>
      </c>
      <c r="G138" s="312">
        <f t="shared" si="20"/>
        <v>2229.280365296805</v>
      </c>
      <c r="H138" s="313">
        <v>0</v>
      </c>
      <c r="I138" s="307"/>
      <c r="J138" s="309"/>
      <c r="K138" s="309"/>
    </row>
    <row r="139" spans="1:11" s="300" customFormat="1" ht="21" customHeight="1">
      <c r="A139" s="303">
        <v>43952</v>
      </c>
      <c r="B139" s="304">
        <v>31</v>
      </c>
      <c r="C139" s="307">
        <f t="shared" si="17"/>
        <v>58.230739726028744</v>
      </c>
      <c r="D139" s="310">
        <v>1</v>
      </c>
      <c r="E139" s="311">
        <f t="shared" si="18"/>
        <v>2166.6666666666665</v>
      </c>
      <c r="F139" s="307">
        <f t="shared" si="19"/>
        <v>17333.333333333787</v>
      </c>
      <c r="G139" s="312">
        <f t="shared" si="20"/>
        <v>2224.8974063926953</v>
      </c>
      <c r="H139" s="313">
        <v>0</v>
      </c>
      <c r="I139" s="307"/>
      <c r="J139" s="309"/>
      <c r="K139" s="309"/>
    </row>
    <row r="140" spans="1:11" s="300" customFormat="1" ht="21" customHeight="1">
      <c r="A140" s="303">
        <v>43983</v>
      </c>
      <c r="B140" s="304">
        <v>30</v>
      </c>
      <c r="C140" s="307">
        <f t="shared" si="17"/>
        <v>50.09095890411089</v>
      </c>
      <c r="D140" s="310">
        <v>1</v>
      </c>
      <c r="E140" s="311">
        <f t="shared" si="18"/>
        <v>2166.6666666666665</v>
      </c>
      <c r="F140" s="307">
        <f t="shared" si="19"/>
        <v>15166.66666666712</v>
      </c>
      <c r="G140" s="312">
        <f t="shared" si="20"/>
        <v>2216.7576255707772</v>
      </c>
      <c r="H140" s="313">
        <v>0</v>
      </c>
      <c r="I140" s="307"/>
      <c r="J140" s="309"/>
      <c r="K140" s="309"/>
    </row>
    <row r="141" spans="1:11" s="300" customFormat="1" ht="21" customHeight="1">
      <c r="A141" s="303">
        <v>44013</v>
      </c>
      <c r="B141" s="304">
        <v>31</v>
      </c>
      <c r="C141" s="307">
        <f t="shared" si="17"/>
        <v>45.29057534246711</v>
      </c>
      <c r="D141" s="310">
        <v>1</v>
      </c>
      <c r="E141" s="311">
        <f t="shared" si="18"/>
        <v>2166.6666666666665</v>
      </c>
      <c r="F141" s="307">
        <f t="shared" si="19"/>
        <v>13000.000000000455</v>
      </c>
      <c r="G141" s="312">
        <f t="shared" si="20"/>
        <v>2211.9572420091336</v>
      </c>
      <c r="H141" s="313">
        <v>0</v>
      </c>
      <c r="I141" s="307"/>
      <c r="J141" s="309"/>
      <c r="K141" s="309"/>
    </row>
    <row r="142" spans="1:11" s="300" customFormat="1" ht="21" customHeight="1">
      <c r="A142" s="303">
        <v>44044</v>
      </c>
      <c r="B142" s="304">
        <v>31</v>
      </c>
      <c r="C142" s="307">
        <f t="shared" si="17"/>
        <v>38.82049315068629</v>
      </c>
      <c r="D142" s="310">
        <v>1</v>
      </c>
      <c r="E142" s="311">
        <f t="shared" si="18"/>
        <v>2166.6666666666665</v>
      </c>
      <c r="F142" s="307">
        <f t="shared" si="19"/>
        <v>10833.333333333789</v>
      </c>
      <c r="G142" s="312">
        <f t="shared" si="20"/>
        <v>2205.4871598173527</v>
      </c>
      <c r="H142" s="313">
        <v>0</v>
      </c>
      <c r="I142" s="307"/>
      <c r="J142" s="309"/>
      <c r="K142" s="309"/>
    </row>
    <row r="143" spans="1:11" s="300" customFormat="1" ht="21" customHeight="1">
      <c r="A143" s="303">
        <v>44075</v>
      </c>
      <c r="B143" s="304">
        <v>30</v>
      </c>
      <c r="C143" s="307">
        <f t="shared" si="17"/>
        <v>31.306849315069805</v>
      </c>
      <c r="D143" s="310">
        <v>1</v>
      </c>
      <c r="E143" s="311">
        <f t="shared" si="18"/>
        <v>2166.6666666666665</v>
      </c>
      <c r="F143" s="307">
        <f t="shared" si="19"/>
        <v>8666.666666667123</v>
      </c>
      <c r="G143" s="312">
        <f t="shared" si="20"/>
        <v>2197.9735159817365</v>
      </c>
      <c r="H143" s="313">
        <v>0</v>
      </c>
      <c r="I143" s="307"/>
      <c r="J143" s="309"/>
      <c r="K143" s="309"/>
    </row>
    <row r="144" spans="1:11" s="300" customFormat="1" ht="21" customHeight="1">
      <c r="A144" s="303">
        <v>44105</v>
      </c>
      <c r="B144" s="304">
        <v>31</v>
      </c>
      <c r="C144" s="307">
        <f t="shared" si="17"/>
        <v>25.88032876712465</v>
      </c>
      <c r="D144" s="310">
        <v>1</v>
      </c>
      <c r="E144" s="311">
        <f t="shared" si="18"/>
        <v>2166.6666666666665</v>
      </c>
      <c r="F144" s="307">
        <f t="shared" si="19"/>
        <v>6500.000000000457</v>
      </c>
      <c r="G144" s="312">
        <f t="shared" si="20"/>
        <v>2192.5469954337914</v>
      </c>
      <c r="H144" s="313">
        <v>0</v>
      </c>
      <c r="I144" s="307"/>
      <c r="J144" s="309"/>
      <c r="K144" s="309"/>
    </row>
    <row r="145" spans="1:11" s="300" customFormat="1" ht="21" customHeight="1">
      <c r="A145" s="303">
        <v>44136</v>
      </c>
      <c r="B145" s="304">
        <v>30</v>
      </c>
      <c r="C145" s="307">
        <f t="shared" si="17"/>
        <v>18.784109589042412</v>
      </c>
      <c r="D145" s="310">
        <v>1</v>
      </c>
      <c r="E145" s="311">
        <f t="shared" si="18"/>
        <v>2166.6666666666665</v>
      </c>
      <c r="F145" s="307">
        <f t="shared" si="19"/>
        <v>4333.3333333337905</v>
      </c>
      <c r="G145" s="312">
        <f t="shared" si="20"/>
        <v>2185.450776255709</v>
      </c>
      <c r="H145" s="313">
        <v>0</v>
      </c>
      <c r="I145" s="307"/>
      <c r="J145" s="309"/>
      <c r="K145" s="309"/>
    </row>
    <row r="146" spans="1:11" s="300" customFormat="1" ht="21" customHeight="1">
      <c r="A146" s="303">
        <v>44166</v>
      </c>
      <c r="B146" s="304">
        <v>31</v>
      </c>
      <c r="C146" s="307">
        <f t="shared" si="17"/>
        <v>12.940164383563006</v>
      </c>
      <c r="D146" s="310">
        <v>1</v>
      </c>
      <c r="E146" s="311">
        <f t="shared" si="18"/>
        <v>2166.6666666666665</v>
      </c>
      <c r="F146" s="307">
        <f t="shared" si="19"/>
        <v>2166.666666667124</v>
      </c>
      <c r="G146" s="312">
        <f t="shared" si="20"/>
        <v>2179.6068310502296</v>
      </c>
      <c r="H146" s="313">
        <f>SUM(G135:G146)</f>
        <v>26569.367232876724</v>
      </c>
      <c r="I146" s="307"/>
      <c r="J146" s="309"/>
      <c r="K146" s="309"/>
    </row>
    <row r="147" spans="1:11" s="300" customFormat="1" ht="21" customHeight="1">
      <c r="A147" s="303">
        <v>40544</v>
      </c>
      <c r="B147" s="304">
        <v>31</v>
      </c>
      <c r="C147" s="307">
        <f t="shared" si="17"/>
        <v>6.470082191782187</v>
      </c>
      <c r="D147" s="310">
        <v>1</v>
      </c>
      <c r="E147" s="311">
        <f t="shared" si="18"/>
        <v>2166.6666666666665</v>
      </c>
      <c r="F147" s="307"/>
      <c r="G147" s="312">
        <f t="shared" si="20"/>
        <v>2173.1367488584488</v>
      </c>
      <c r="H147" s="313">
        <v>2173.14</v>
      </c>
      <c r="I147" s="307"/>
      <c r="J147" s="309"/>
      <c r="K147" s="309"/>
    </row>
    <row r="148" spans="1:11" s="300" customFormat="1" ht="21" customHeight="1">
      <c r="A148" s="303"/>
      <c r="B148" s="304"/>
      <c r="C148" s="307">
        <f>SUM(C26:C147)</f>
        <v>46968.985716445975</v>
      </c>
      <c r="D148" s="310"/>
      <c r="E148" s="311">
        <f>SUM(E26:E147)</f>
        <v>259999.99999999953</v>
      </c>
      <c r="F148" s="307"/>
      <c r="G148" s="312">
        <f t="shared" si="20"/>
        <v>306968.9857164455</v>
      </c>
      <c r="H148" s="313">
        <f>SUM(H26:H147)</f>
        <v>306968.9889675875</v>
      </c>
      <c r="I148" s="307"/>
      <c r="J148" s="309"/>
      <c r="K148" s="309"/>
    </row>
    <row r="149" spans="1:11" s="300" customFormat="1" ht="21" customHeight="1">
      <c r="A149" s="303"/>
      <c r="B149" s="304"/>
      <c r="C149" s="307"/>
      <c r="D149" s="310"/>
      <c r="E149" s="311"/>
      <c r="F149" s="307"/>
      <c r="G149" s="312"/>
      <c r="H149" s="313"/>
      <c r="I149" s="307"/>
      <c r="J149" s="309"/>
      <c r="K149" s="309"/>
    </row>
    <row r="150" spans="1:11" s="300" customFormat="1" ht="21" customHeight="1">
      <c r="A150" s="303"/>
      <c r="B150" s="304"/>
      <c r="C150" s="307"/>
      <c r="D150" s="310"/>
      <c r="E150" s="311"/>
      <c r="F150" s="307"/>
      <c r="G150" s="312"/>
      <c r="H150" s="313"/>
      <c r="I150" s="307"/>
      <c r="J150" s="309"/>
      <c r="K150" s="309"/>
    </row>
    <row r="151" spans="1:11" s="300" customFormat="1" ht="21" customHeight="1">
      <c r="A151" s="303"/>
      <c r="B151" s="304"/>
      <c r="C151" s="307"/>
      <c r="D151" s="310"/>
      <c r="E151" s="311"/>
      <c r="F151" s="307"/>
      <c r="G151" s="312"/>
      <c r="H151" s="313"/>
      <c r="I151" s="307"/>
      <c r="J151" s="309"/>
      <c r="K151" s="309"/>
    </row>
    <row r="152" spans="1:11" s="300" customFormat="1" ht="21" customHeight="1">
      <c r="A152" s="303"/>
      <c r="B152" s="304"/>
      <c r="C152" s="307"/>
      <c r="D152" s="310"/>
      <c r="E152" s="311"/>
      <c r="F152" s="307"/>
      <c r="G152" s="312"/>
      <c r="H152" s="313"/>
      <c r="I152" s="307"/>
      <c r="J152" s="309"/>
      <c r="K152" s="309"/>
    </row>
    <row r="153" spans="1:11" s="300" customFormat="1" ht="21" customHeight="1">
      <c r="A153" s="303"/>
      <c r="B153" s="304"/>
      <c r="C153" s="307"/>
      <c r="D153" s="310"/>
      <c r="E153" s="311"/>
      <c r="F153" s="307"/>
      <c r="G153" s="312"/>
      <c r="H153" s="313"/>
      <c r="I153" s="307"/>
      <c r="J153" s="309"/>
      <c r="K153" s="309"/>
    </row>
    <row r="154" spans="1:11" s="300" customFormat="1" ht="21" customHeight="1">
      <c r="A154" s="303"/>
      <c r="B154" s="304"/>
      <c r="C154" s="307"/>
      <c r="D154" s="310"/>
      <c r="E154" s="311"/>
      <c r="F154" s="307"/>
      <c r="G154" s="312"/>
      <c r="H154" s="313"/>
      <c r="I154" s="307"/>
      <c r="J154" s="309"/>
      <c r="K154" s="309"/>
    </row>
    <row r="155" spans="1:11" s="300" customFormat="1" ht="21" customHeight="1">
      <c r="A155" s="303"/>
      <c r="B155" s="304"/>
      <c r="C155" s="307"/>
      <c r="D155" s="310"/>
      <c r="E155" s="311"/>
      <c r="F155" s="307"/>
      <c r="G155" s="312"/>
      <c r="H155" s="313"/>
      <c r="I155" s="307"/>
      <c r="J155" s="309"/>
      <c r="K155" s="309"/>
    </row>
    <row r="156" spans="1:11" s="300" customFormat="1" ht="21" customHeight="1">
      <c r="A156" s="303"/>
      <c r="B156" s="304"/>
      <c r="C156" s="307"/>
      <c r="D156" s="310"/>
      <c r="E156" s="311"/>
      <c r="F156" s="307"/>
      <c r="G156" s="312"/>
      <c r="H156" s="313"/>
      <c r="I156" s="307"/>
      <c r="J156" s="309"/>
      <c r="K156" s="309"/>
    </row>
    <row r="157" spans="1:11" s="300" customFormat="1" ht="21" customHeight="1">
      <c r="A157" s="303"/>
      <c r="B157" s="304"/>
      <c r="C157" s="307"/>
      <c r="D157" s="310"/>
      <c r="E157" s="311"/>
      <c r="F157" s="307"/>
      <c r="G157" s="312"/>
      <c r="H157" s="313"/>
      <c r="I157" s="307"/>
      <c r="J157" s="309"/>
      <c r="K157" s="309"/>
    </row>
    <row r="158" spans="1:11" s="300" customFormat="1" ht="21" customHeight="1">
      <c r="A158" s="303"/>
      <c r="B158" s="304"/>
      <c r="C158" s="307"/>
      <c r="D158" s="310"/>
      <c r="E158" s="311"/>
      <c r="F158" s="307"/>
      <c r="G158" s="312"/>
      <c r="H158" s="313"/>
      <c r="I158" s="307"/>
      <c r="J158" s="309"/>
      <c r="K158" s="309"/>
    </row>
    <row r="159" spans="1:11" s="300" customFormat="1" ht="21" customHeight="1">
      <c r="A159" s="303"/>
      <c r="B159" s="304"/>
      <c r="C159" s="307"/>
      <c r="D159" s="310"/>
      <c r="E159" s="311"/>
      <c r="F159" s="307"/>
      <c r="G159" s="312"/>
      <c r="H159" s="313"/>
      <c r="I159" s="307"/>
      <c r="J159" s="309"/>
      <c r="K159" s="309"/>
    </row>
    <row r="160" spans="1:11" s="300" customFormat="1" ht="21" customHeight="1">
      <c r="A160" s="303"/>
      <c r="B160" s="304"/>
      <c r="C160" s="307"/>
      <c r="D160" s="310"/>
      <c r="E160" s="311"/>
      <c r="F160" s="307"/>
      <c r="G160" s="312"/>
      <c r="H160" s="313"/>
      <c r="I160" s="307"/>
      <c r="J160" s="309"/>
      <c r="K160" s="309"/>
    </row>
    <row r="161" spans="1:11" s="300" customFormat="1" ht="21" customHeight="1">
      <c r="A161" s="303"/>
      <c r="B161" s="304"/>
      <c r="C161" s="307"/>
      <c r="D161" s="310"/>
      <c r="E161" s="311"/>
      <c r="F161" s="307"/>
      <c r="G161" s="312"/>
      <c r="H161" s="313"/>
      <c r="I161" s="307"/>
      <c r="J161" s="309"/>
      <c r="K161" s="309"/>
    </row>
    <row r="162" spans="1:11" s="300" customFormat="1" ht="21" customHeight="1">
      <c r="A162" s="303"/>
      <c r="B162" s="304"/>
      <c r="C162" s="307"/>
      <c r="D162" s="310"/>
      <c r="E162" s="311"/>
      <c r="F162" s="307"/>
      <c r="G162" s="312"/>
      <c r="H162" s="313"/>
      <c r="I162" s="307"/>
      <c r="J162" s="309"/>
      <c r="K162" s="309"/>
    </row>
    <row r="163" spans="1:11" s="300" customFormat="1" ht="21" customHeight="1">
      <c r="A163" s="303"/>
      <c r="B163" s="304"/>
      <c r="C163" s="307"/>
      <c r="D163" s="310"/>
      <c r="E163" s="311"/>
      <c r="F163" s="307"/>
      <c r="G163" s="312"/>
      <c r="H163" s="313"/>
      <c r="I163" s="307"/>
      <c r="J163" s="309"/>
      <c r="K163" s="309"/>
    </row>
    <row r="164" spans="1:11" s="300" customFormat="1" ht="21" customHeight="1">
      <c r="A164" s="303"/>
      <c r="B164" s="304"/>
      <c r="C164" s="307"/>
      <c r="D164" s="310"/>
      <c r="E164" s="311"/>
      <c r="F164" s="307"/>
      <c r="G164" s="312"/>
      <c r="H164" s="313"/>
      <c r="I164" s="307"/>
      <c r="J164" s="309"/>
      <c r="K164" s="309"/>
    </row>
    <row r="165" spans="1:11" s="300" customFormat="1" ht="21" customHeight="1">
      <c r="A165" s="303"/>
      <c r="B165" s="304"/>
      <c r="C165" s="307"/>
      <c r="D165" s="310"/>
      <c r="E165" s="311"/>
      <c r="F165" s="307"/>
      <c r="G165" s="312"/>
      <c r="H165" s="313"/>
      <c r="I165" s="307"/>
      <c r="J165" s="309"/>
      <c r="K165" s="309"/>
    </row>
    <row r="166" spans="1:11" s="300" customFormat="1" ht="21" customHeight="1">
      <c r="A166" s="303"/>
      <c r="B166" s="304"/>
      <c r="C166" s="307"/>
      <c r="D166" s="310"/>
      <c r="E166" s="311"/>
      <c r="F166" s="307"/>
      <c r="G166" s="312"/>
      <c r="H166" s="313"/>
      <c r="I166" s="307"/>
      <c r="J166" s="309"/>
      <c r="K166" s="309"/>
    </row>
    <row r="167" spans="1:11" s="300" customFormat="1" ht="21" customHeight="1">
      <c r="A167" s="303"/>
      <c r="B167" s="304"/>
      <c r="C167" s="307"/>
      <c r="D167" s="310"/>
      <c r="E167" s="311"/>
      <c r="F167" s="307"/>
      <c r="G167" s="312"/>
      <c r="H167" s="313"/>
      <c r="I167" s="307"/>
      <c r="J167" s="309"/>
      <c r="K167" s="309"/>
    </row>
    <row r="168" spans="1:11" s="300" customFormat="1" ht="21" customHeight="1">
      <c r="A168" s="303"/>
      <c r="B168" s="304"/>
      <c r="C168" s="307"/>
      <c r="D168" s="310"/>
      <c r="E168" s="311"/>
      <c r="F168" s="307"/>
      <c r="G168" s="312"/>
      <c r="H168" s="313"/>
      <c r="I168" s="307"/>
      <c r="J168" s="309"/>
      <c r="K168" s="309"/>
    </row>
    <row r="169" spans="1:11" s="300" customFormat="1" ht="21" customHeight="1">
      <c r="A169" s="303"/>
      <c r="B169" s="304"/>
      <c r="C169" s="307"/>
      <c r="D169" s="310"/>
      <c r="E169" s="311"/>
      <c r="F169" s="307"/>
      <c r="G169" s="312"/>
      <c r="H169" s="313"/>
      <c r="I169" s="307"/>
      <c r="J169" s="309"/>
      <c r="K169" s="309"/>
    </row>
    <row r="170" spans="1:11" s="300" customFormat="1" ht="21" customHeight="1">
      <c r="A170" s="303"/>
      <c r="B170" s="304"/>
      <c r="C170" s="307"/>
      <c r="D170" s="310"/>
      <c r="E170" s="311"/>
      <c r="F170" s="307"/>
      <c r="G170" s="312"/>
      <c r="H170" s="313"/>
      <c r="I170" s="307"/>
      <c r="J170" s="309"/>
      <c r="K170" s="309"/>
    </row>
    <row r="171" spans="1:11" s="300" customFormat="1" ht="21" customHeight="1">
      <c r="A171" s="303"/>
      <c r="B171" s="304"/>
      <c r="C171" s="307"/>
      <c r="D171" s="310"/>
      <c r="E171" s="311"/>
      <c r="F171" s="307"/>
      <c r="G171" s="312"/>
      <c r="H171" s="313"/>
      <c r="I171" s="307"/>
      <c r="J171" s="309"/>
      <c r="K171" s="309"/>
    </row>
    <row r="172" spans="1:11" s="300" customFormat="1" ht="21" customHeight="1">
      <c r="A172" s="303"/>
      <c r="B172" s="304"/>
      <c r="C172" s="307"/>
      <c r="D172" s="310"/>
      <c r="E172" s="311"/>
      <c r="F172" s="307"/>
      <c r="G172" s="312"/>
      <c r="H172" s="313"/>
      <c r="I172" s="307"/>
      <c r="J172" s="309"/>
      <c r="K172" s="309"/>
    </row>
    <row r="173" spans="1:11" s="300" customFormat="1" ht="21" customHeight="1">
      <c r="A173" s="303"/>
      <c r="B173" s="304"/>
      <c r="C173" s="307"/>
      <c r="D173" s="310"/>
      <c r="E173" s="311"/>
      <c r="F173" s="307"/>
      <c r="G173" s="312"/>
      <c r="H173" s="313"/>
      <c r="I173" s="307"/>
      <c r="J173" s="309"/>
      <c r="K173" s="309"/>
    </row>
    <row r="174" spans="1:11" s="300" customFormat="1" ht="21" customHeight="1">
      <c r="A174" s="303"/>
      <c r="B174" s="304"/>
      <c r="C174" s="307"/>
      <c r="D174" s="310"/>
      <c r="E174" s="311"/>
      <c r="F174" s="307"/>
      <c r="G174" s="312"/>
      <c r="H174" s="313"/>
      <c r="I174" s="307"/>
      <c r="J174" s="309"/>
      <c r="K174" s="309"/>
    </row>
    <row r="175" spans="1:11" s="300" customFormat="1" ht="21" customHeight="1">
      <c r="A175" s="303"/>
      <c r="B175" s="304"/>
      <c r="C175" s="307"/>
      <c r="D175" s="310"/>
      <c r="E175" s="311"/>
      <c r="F175" s="307"/>
      <c r="G175" s="312"/>
      <c r="H175" s="313"/>
      <c r="I175" s="307"/>
      <c r="J175" s="309"/>
      <c r="K175" s="309"/>
    </row>
    <row r="176" spans="1:11" s="300" customFormat="1" ht="21" customHeight="1">
      <c r="A176" s="303"/>
      <c r="B176" s="304"/>
      <c r="C176" s="307"/>
      <c r="D176" s="310"/>
      <c r="E176" s="311"/>
      <c r="F176" s="307"/>
      <c r="G176" s="312"/>
      <c r="H176" s="313"/>
      <c r="I176" s="307"/>
      <c r="J176" s="309"/>
      <c r="K176" s="309"/>
    </row>
    <row r="177" spans="1:11" s="300" customFormat="1" ht="21" customHeight="1">
      <c r="A177" s="303"/>
      <c r="B177" s="304"/>
      <c r="C177" s="307"/>
      <c r="D177" s="310"/>
      <c r="E177" s="311"/>
      <c r="F177" s="307"/>
      <c r="G177" s="312"/>
      <c r="H177" s="313"/>
      <c r="I177" s="307"/>
      <c r="J177" s="309"/>
      <c r="K177" s="309"/>
    </row>
    <row r="178" spans="1:11" s="300" customFormat="1" ht="21" customHeight="1">
      <c r="A178" s="303"/>
      <c r="B178" s="304"/>
      <c r="C178" s="307"/>
      <c r="D178" s="310"/>
      <c r="E178" s="311"/>
      <c r="F178" s="307"/>
      <c r="G178" s="312"/>
      <c r="H178" s="313"/>
      <c r="I178" s="307"/>
      <c r="J178" s="309"/>
      <c r="K178" s="309"/>
    </row>
    <row r="179" spans="1:11" s="300" customFormat="1" ht="21" customHeight="1">
      <c r="A179" s="303"/>
      <c r="B179" s="304"/>
      <c r="C179" s="307"/>
      <c r="D179" s="310"/>
      <c r="E179" s="311"/>
      <c r="F179" s="307"/>
      <c r="G179" s="312"/>
      <c r="H179" s="313"/>
      <c r="I179" s="307"/>
      <c r="J179" s="309"/>
      <c r="K179" s="309"/>
    </row>
    <row r="180" spans="1:11" s="300" customFormat="1" ht="21" customHeight="1">
      <c r="A180" s="303"/>
      <c r="B180" s="304"/>
      <c r="C180" s="307"/>
      <c r="D180" s="310"/>
      <c r="E180" s="311"/>
      <c r="F180" s="307"/>
      <c r="G180" s="312"/>
      <c r="H180" s="313"/>
      <c r="I180" s="307"/>
      <c r="J180" s="309"/>
      <c r="K180" s="309"/>
    </row>
    <row r="181" spans="1:11" s="300" customFormat="1" ht="21" customHeight="1">
      <c r="A181" s="303"/>
      <c r="B181" s="304"/>
      <c r="C181" s="307"/>
      <c r="D181" s="310"/>
      <c r="E181" s="311"/>
      <c r="F181" s="307"/>
      <c r="G181" s="312"/>
      <c r="H181" s="313"/>
      <c r="I181" s="307"/>
      <c r="J181" s="309"/>
      <c r="K181" s="309"/>
    </row>
    <row r="182" spans="1:11" s="300" customFormat="1" ht="21" customHeight="1">
      <c r="A182" s="303"/>
      <c r="B182" s="304"/>
      <c r="C182" s="307"/>
      <c r="D182" s="310"/>
      <c r="E182" s="311"/>
      <c r="F182" s="307"/>
      <c r="G182" s="312"/>
      <c r="H182" s="313"/>
      <c r="I182" s="307"/>
      <c r="J182" s="309"/>
      <c r="K182" s="309"/>
    </row>
    <row r="183" spans="1:11" s="300" customFormat="1" ht="21" customHeight="1">
      <c r="A183" s="303"/>
      <c r="B183" s="304"/>
      <c r="C183" s="307"/>
      <c r="D183" s="310"/>
      <c r="E183" s="311"/>
      <c r="F183" s="307"/>
      <c r="G183" s="312"/>
      <c r="H183" s="313"/>
      <c r="I183" s="307"/>
      <c r="J183" s="309"/>
      <c r="K183" s="309"/>
    </row>
    <row r="184" spans="1:11" s="300" customFormat="1" ht="21" customHeight="1">
      <c r="A184" s="303"/>
      <c r="B184" s="304"/>
      <c r="C184" s="307"/>
      <c r="D184" s="310"/>
      <c r="E184" s="311"/>
      <c r="F184" s="307"/>
      <c r="G184" s="312"/>
      <c r="H184" s="313"/>
      <c r="I184" s="307"/>
      <c r="J184" s="309"/>
      <c r="K184" s="309"/>
    </row>
    <row r="185" spans="1:11" s="300" customFormat="1" ht="21" customHeight="1">
      <c r="A185" s="303"/>
      <c r="B185" s="304"/>
      <c r="C185" s="307"/>
      <c r="D185" s="310"/>
      <c r="E185" s="311"/>
      <c r="F185" s="307"/>
      <c r="G185" s="312"/>
      <c r="H185" s="313"/>
      <c r="I185" s="307"/>
      <c r="J185" s="309"/>
      <c r="K185" s="309"/>
    </row>
    <row r="186" spans="1:11" s="300" customFormat="1" ht="21" customHeight="1">
      <c r="A186" s="303"/>
      <c r="B186" s="304"/>
      <c r="C186" s="307"/>
      <c r="D186" s="310"/>
      <c r="E186" s="311"/>
      <c r="F186" s="307"/>
      <c r="G186" s="312"/>
      <c r="H186" s="313"/>
      <c r="I186" s="307"/>
      <c r="J186" s="309"/>
      <c r="K186" s="309"/>
    </row>
    <row r="187" spans="1:11" s="300" customFormat="1" ht="21" customHeight="1">
      <c r="A187" s="303"/>
      <c r="B187" s="304"/>
      <c r="C187" s="307"/>
      <c r="D187" s="310"/>
      <c r="E187" s="311"/>
      <c r="F187" s="307"/>
      <c r="G187" s="312"/>
      <c r="H187" s="313"/>
      <c r="I187" s="307"/>
      <c r="J187" s="309"/>
      <c r="K187" s="309"/>
    </row>
    <row r="188" spans="1:11" s="300" customFormat="1" ht="21" customHeight="1">
      <c r="A188" s="303"/>
      <c r="B188" s="304"/>
      <c r="C188" s="307"/>
      <c r="D188" s="310"/>
      <c r="E188" s="311"/>
      <c r="F188" s="307"/>
      <c r="G188" s="312"/>
      <c r="H188" s="313"/>
      <c r="I188" s="307"/>
      <c r="J188" s="309"/>
      <c r="K188" s="309"/>
    </row>
    <row r="189" spans="1:11" s="300" customFormat="1" ht="21" customHeight="1">
      <c r="A189" s="303"/>
      <c r="B189" s="304"/>
      <c r="C189" s="307"/>
      <c r="D189" s="310"/>
      <c r="E189" s="311"/>
      <c r="F189" s="307"/>
      <c r="G189" s="312"/>
      <c r="H189" s="313"/>
      <c r="I189" s="307"/>
      <c r="J189" s="309"/>
      <c r="K189" s="309"/>
    </row>
    <row r="190" spans="1:11" s="300" customFormat="1" ht="21" customHeight="1">
      <c r="A190" s="303"/>
      <c r="B190" s="304"/>
      <c r="C190" s="307"/>
      <c r="D190" s="310"/>
      <c r="E190" s="311"/>
      <c r="F190" s="307"/>
      <c r="G190" s="312"/>
      <c r="H190" s="313"/>
      <c r="I190" s="307"/>
      <c r="J190" s="309"/>
      <c r="K190" s="309"/>
    </row>
    <row r="191" spans="1:11" s="300" customFormat="1" ht="21" customHeight="1">
      <c r="A191" s="303"/>
      <c r="B191" s="304"/>
      <c r="C191" s="307"/>
      <c r="D191" s="310"/>
      <c r="E191" s="311"/>
      <c r="F191" s="307"/>
      <c r="G191" s="312"/>
      <c r="H191" s="313"/>
      <c r="I191" s="307"/>
      <c r="J191" s="309"/>
      <c r="K191" s="309"/>
    </row>
    <row r="192" spans="1:11" s="300" customFormat="1" ht="21" customHeight="1">
      <c r="A192" s="303"/>
      <c r="B192" s="304"/>
      <c r="C192" s="307"/>
      <c r="D192" s="310"/>
      <c r="E192" s="311"/>
      <c r="F192" s="307"/>
      <c r="G192" s="312"/>
      <c r="H192" s="313"/>
      <c r="I192" s="307"/>
      <c r="J192" s="309"/>
      <c r="K192" s="309"/>
    </row>
    <row r="193" spans="1:11" s="300" customFormat="1" ht="21" customHeight="1">
      <c r="A193" s="303"/>
      <c r="B193" s="304"/>
      <c r="C193" s="307"/>
      <c r="D193" s="310"/>
      <c r="E193" s="311"/>
      <c r="F193" s="307"/>
      <c r="G193" s="312"/>
      <c r="H193" s="313"/>
      <c r="I193" s="307"/>
      <c r="J193" s="309"/>
      <c r="K193" s="309"/>
    </row>
    <row r="194" spans="1:11" s="300" customFormat="1" ht="21" customHeight="1">
      <c r="A194" s="303"/>
      <c r="B194" s="304"/>
      <c r="C194" s="307"/>
      <c r="D194" s="310"/>
      <c r="E194" s="311"/>
      <c r="F194" s="307"/>
      <c r="G194" s="312"/>
      <c r="H194" s="313"/>
      <c r="I194" s="307"/>
      <c r="J194" s="309"/>
      <c r="K194" s="309"/>
    </row>
    <row r="195" spans="1:11" s="300" customFormat="1" ht="21" customHeight="1">
      <c r="A195" s="303"/>
      <c r="B195" s="304"/>
      <c r="C195" s="307"/>
      <c r="D195" s="310"/>
      <c r="E195" s="311"/>
      <c r="F195" s="307"/>
      <c r="G195" s="312"/>
      <c r="H195" s="313"/>
      <c r="I195" s="307"/>
      <c r="J195" s="309"/>
      <c r="K195" s="309"/>
    </row>
    <row r="196" spans="1:11" s="300" customFormat="1" ht="21" customHeight="1">
      <c r="A196" s="303"/>
      <c r="B196" s="304"/>
      <c r="C196" s="307"/>
      <c r="D196" s="310"/>
      <c r="E196" s="311"/>
      <c r="F196" s="307"/>
      <c r="G196" s="312"/>
      <c r="H196" s="313"/>
      <c r="I196" s="307"/>
      <c r="J196" s="309"/>
      <c r="K196" s="309"/>
    </row>
    <row r="197" spans="1:11" s="300" customFormat="1" ht="21" customHeight="1">
      <c r="A197" s="303"/>
      <c r="B197" s="304"/>
      <c r="C197" s="307"/>
      <c r="D197" s="310"/>
      <c r="E197" s="311"/>
      <c r="F197" s="307"/>
      <c r="G197" s="312"/>
      <c r="H197" s="313"/>
      <c r="I197" s="307"/>
      <c r="J197" s="309"/>
      <c r="K197" s="309"/>
    </row>
    <row r="198" spans="1:11" s="300" customFormat="1" ht="21" customHeight="1">
      <c r="A198" s="303"/>
      <c r="B198" s="304"/>
      <c r="C198" s="307"/>
      <c r="D198" s="310"/>
      <c r="E198" s="311"/>
      <c r="F198" s="307"/>
      <c r="G198" s="312"/>
      <c r="H198" s="313"/>
      <c r="I198" s="307"/>
      <c r="J198" s="309"/>
      <c r="K198" s="309"/>
    </row>
    <row r="199" spans="1:11" s="300" customFormat="1" ht="21" customHeight="1">
      <c r="A199" s="303"/>
      <c r="B199" s="304"/>
      <c r="C199" s="307"/>
      <c r="D199" s="310"/>
      <c r="E199" s="311"/>
      <c r="F199" s="307"/>
      <c r="G199" s="312"/>
      <c r="H199" s="313"/>
      <c r="I199" s="307"/>
      <c r="J199" s="309"/>
      <c r="K199" s="309"/>
    </row>
    <row r="200" spans="1:11" s="300" customFormat="1" ht="21" customHeight="1">
      <c r="A200" s="303"/>
      <c r="B200" s="304"/>
      <c r="C200" s="307"/>
      <c r="D200" s="310"/>
      <c r="E200" s="311"/>
      <c r="F200" s="307"/>
      <c r="G200" s="312"/>
      <c r="H200" s="313"/>
      <c r="I200" s="307"/>
      <c r="J200" s="309"/>
      <c r="K200" s="309"/>
    </row>
    <row r="201" spans="1:11" s="300" customFormat="1" ht="21" customHeight="1">
      <c r="A201" s="303"/>
      <c r="B201" s="304"/>
      <c r="C201" s="307"/>
      <c r="D201" s="310"/>
      <c r="E201" s="311"/>
      <c r="F201" s="307"/>
      <c r="G201" s="312"/>
      <c r="H201" s="313"/>
      <c r="I201" s="307"/>
      <c r="J201" s="309"/>
      <c r="K201" s="309"/>
    </row>
    <row r="202" spans="1:11" s="300" customFormat="1" ht="21" customHeight="1">
      <c r="A202" s="303"/>
      <c r="B202" s="304"/>
      <c r="C202" s="307"/>
      <c r="D202" s="310"/>
      <c r="E202" s="311"/>
      <c r="F202" s="307"/>
      <c r="G202" s="312"/>
      <c r="H202" s="313"/>
      <c r="I202" s="307"/>
      <c r="J202" s="309"/>
      <c r="K202" s="309"/>
    </row>
    <row r="203" spans="1:11" s="300" customFormat="1" ht="21" customHeight="1">
      <c r="A203" s="303"/>
      <c r="B203" s="304"/>
      <c r="C203" s="307"/>
      <c r="D203" s="310"/>
      <c r="E203" s="311"/>
      <c r="F203" s="307"/>
      <c r="G203" s="312"/>
      <c r="H203" s="313"/>
      <c r="I203" s="307"/>
      <c r="J203" s="309"/>
      <c r="K203" s="309"/>
    </row>
    <row r="204" spans="1:11" s="300" customFormat="1" ht="21" customHeight="1">
      <c r="A204" s="303"/>
      <c r="B204" s="304"/>
      <c r="C204" s="307"/>
      <c r="D204" s="310"/>
      <c r="E204" s="311"/>
      <c r="F204" s="307"/>
      <c r="G204" s="312"/>
      <c r="H204" s="313"/>
      <c r="I204" s="307"/>
      <c r="J204" s="309"/>
      <c r="K204" s="309"/>
    </row>
    <row r="205" spans="1:11" s="300" customFormat="1" ht="21" customHeight="1">
      <c r="A205" s="303"/>
      <c r="B205" s="304"/>
      <c r="C205" s="307"/>
      <c r="D205" s="310"/>
      <c r="E205" s="311"/>
      <c r="F205" s="307"/>
      <c r="G205" s="312"/>
      <c r="H205" s="313"/>
      <c r="I205" s="307"/>
      <c r="J205" s="309"/>
      <c r="K205" s="309"/>
    </row>
    <row r="206" spans="1:11" s="300" customFormat="1" ht="21" customHeight="1">
      <c r="A206" s="303"/>
      <c r="B206" s="304"/>
      <c r="C206" s="307"/>
      <c r="D206" s="310"/>
      <c r="E206" s="311"/>
      <c r="F206" s="307"/>
      <c r="G206" s="312"/>
      <c r="H206" s="313"/>
      <c r="I206" s="307"/>
      <c r="J206" s="309"/>
      <c r="K206" s="309"/>
    </row>
    <row r="207" spans="1:11" s="300" customFormat="1" ht="21" customHeight="1">
      <c r="A207" s="303"/>
      <c r="B207" s="304"/>
      <c r="C207" s="307"/>
      <c r="D207" s="310"/>
      <c r="E207" s="311"/>
      <c r="F207" s="307"/>
      <c r="G207" s="312"/>
      <c r="H207" s="313"/>
      <c r="I207" s="307"/>
      <c r="J207" s="309"/>
      <c r="K207" s="309"/>
    </row>
    <row r="208" spans="1:11" s="300" customFormat="1" ht="21" customHeight="1">
      <c r="A208" s="303"/>
      <c r="B208" s="304"/>
      <c r="C208" s="307"/>
      <c r="D208" s="310"/>
      <c r="E208" s="311"/>
      <c r="F208" s="307"/>
      <c r="G208" s="312"/>
      <c r="H208" s="313"/>
      <c r="I208" s="307"/>
      <c r="J208" s="309"/>
      <c r="K208" s="309"/>
    </row>
    <row r="209" spans="1:11" s="300" customFormat="1" ht="21" customHeight="1">
      <c r="A209" s="303"/>
      <c r="B209" s="304"/>
      <c r="C209" s="307"/>
      <c r="D209" s="310"/>
      <c r="E209" s="311"/>
      <c r="F209" s="307"/>
      <c r="G209" s="312"/>
      <c r="H209" s="313"/>
      <c r="I209" s="307"/>
      <c r="J209" s="309"/>
      <c r="K209" s="309"/>
    </row>
    <row r="210" spans="1:11" s="300" customFormat="1" ht="21" customHeight="1">
      <c r="A210" s="303"/>
      <c r="B210" s="304"/>
      <c r="C210" s="307"/>
      <c r="D210" s="310"/>
      <c r="E210" s="311"/>
      <c r="F210" s="307"/>
      <c r="G210" s="312"/>
      <c r="H210" s="313"/>
      <c r="I210" s="307"/>
      <c r="J210" s="309"/>
      <c r="K210" s="309"/>
    </row>
    <row r="211" spans="1:11" s="300" customFormat="1" ht="21" customHeight="1">
      <c r="A211" s="303"/>
      <c r="B211" s="304"/>
      <c r="C211" s="307"/>
      <c r="D211" s="310"/>
      <c r="E211" s="311"/>
      <c r="F211" s="307"/>
      <c r="G211" s="312"/>
      <c r="H211" s="313"/>
      <c r="I211" s="307"/>
      <c r="J211" s="309"/>
      <c r="K211" s="309"/>
    </row>
    <row r="212" spans="1:11" s="300" customFormat="1" ht="21" customHeight="1">
      <c r="A212" s="303"/>
      <c r="B212" s="304"/>
      <c r="C212" s="307"/>
      <c r="D212" s="310"/>
      <c r="E212" s="311"/>
      <c r="F212" s="307"/>
      <c r="G212" s="312"/>
      <c r="H212" s="313"/>
      <c r="I212" s="307"/>
      <c r="J212" s="309"/>
      <c r="K212" s="309"/>
    </row>
    <row r="213" spans="1:11" s="300" customFormat="1" ht="21" customHeight="1">
      <c r="A213" s="303"/>
      <c r="B213" s="304"/>
      <c r="C213" s="307"/>
      <c r="D213" s="310"/>
      <c r="E213" s="311"/>
      <c r="F213" s="307"/>
      <c r="G213" s="312"/>
      <c r="H213" s="313"/>
      <c r="I213" s="307"/>
      <c r="J213" s="309"/>
      <c r="K213" s="309"/>
    </row>
    <row r="214" spans="1:11" s="300" customFormat="1" ht="21" customHeight="1">
      <c r="A214" s="303"/>
      <c r="B214" s="304"/>
      <c r="C214" s="307"/>
      <c r="D214" s="310"/>
      <c r="E214" s="311"/>
      <c r="F214" s="307"/>
      <c r="G214" s="312"/>
      <c r="H214" s="313"/>
      <c r="I214" s="307"/>
      <c r="J214" s="309"/>
      <c r="K214" s="309"/>
    </row>
    <row r="215" spans="1:11" s="300" customFormat="1" ht="21" customHeight="1">
      <c r="A215" s="303"/>
      <c r="B215" s="304"/>
      <c r="C215" s="307"/>
      <c r="D215" s="310"/>
      <c r="E215" s="311"/>
      <c r="F215" s="307"/>
      <c r="G215" s="312"/>
      <c r="H215" s="313"/>
      <c r="I215" s="307"/>
      <c r="J215" s="309"/>
      <c r="K215" s="309"/>
    </row>
    <row r="216" spans="1:11" s="300" customFormat="1" ht="21" customHeight="1">
      <c r="A216" s="303"/>
      <c r="B216" s="304"/>
      <c r="C216" s="307"/>
      <c r="D216" s="310"/>
      <c r="E216" s="311"/>
      <c r="F216" s="307"/>
      <c r="G216" s="312"/>
      <c r="H216" s="313"/>
      <c r="I216" s="307"/>
      <c r="J216" s="309"/>
      <c r="K216" s="309"/>
    </row>
    <row r="217" spans="1:11" s="300" customFormat="1" ht="21" customHeight="1">
      <c r="A217" s="303"/>
      <c r="B217" s="304"/>
      <c r="C217" s="307"/>
      <c r="D217" s="310"/>
      <c r="E217" s="311"/>
      <c r="F217" s="307"/>
      <c r="G217" s="312"/>
      <c r="H217" s="313"/>
      <c r="I217" s="307"/>
      <c r="J217" s="309"/>
      <c r="K217" s="309"/>
    </row>
    <row r="218" spans="1:11" s="300" customFormat="1" ht="21" customHeight="1">
      <c r="A218" s="303"/>
      <c r="B218" s="304"/>
      <c r="C218" s="307"/>
      <c r="D218" s="310"/>
      <c r="E218" s="311"/>
      <c r="F218" s="307"/>
      <c r="G218" s="312"/>
      <c r="H218" s="313"/>
      <c r="I218" s="307"/>
      <c r="J218" s="309"/>
      <c r="K218" s="309"/>
    </row>
    <row r="219" spans="1:11" s="300" customFormat="1" ht="21" customHeight="1">
      <c r="A219" s="303"/>
      <c r="B219" s="304"/>
      <c r="C219" s="307"/>
      <c r="D219" s="310"/>
      <c r="E219" s="311"/>
      <c r="F219" s="307"/>
      <c r="G219" s="312"/>
      <c r="H219" s="313"/>
      <c r="I219" s="307"/>
      <c r="J219" s="309"/>
      <c r="K219" s="309"/>
    </row>
    <row r="220" spans="1:11" s="300" customFormat="1" ht="21" customHeight="1">
      <c r="A220" s="303"/>
      <c r="B220" s="304"/>
      <c r="C220" s="307"/>
      <c r="D220" s="310"/>
      <c r="E220" s="311"/>
      <c r="F220" s="307"/>
      <c r="G220" s="312"/>
      <c r="H220" s="313"/>
      <c r="I220" s="307"/>
      <c r="J220" s="309"/>
      <c r="K220" s="309"/>
    </row>
    <row r="221" spans="1:11" s="300" customFormat="1" ht="21" customHeight="1">
      <c r="A221" s="303"/>
      <c r="B221" s="304"/>
      <c r="C221" s="307"/>
      <c r="D221" s="310"/>
      <c r="E221" s="311"/>
      <c r="F221" s="307"/>
      <c r="G221" s="312"/>
      <c r="H221" s="313"/>
      <c r="I221" s="307"/>
      <c r="J221" s="309"/>
      <c r="K221" s="309"/>
    </row>
    <row r="222" spans="1:11" s="300" customFormat="1" ht="21" customHeight="1">
      <c r="A222" s="303"/>
      <c r="B222" s="304"/>
      <c r="C222" s="307"/>
      <c r="D222" s="310"/>
      <c r="E222" s="311"/>
      <c r="F222" s="307"/>
      <c r="G222" s="312"/>
      <c r="H222" s="313"/>
      <c r="I222" s="307"/>
      <c r="J222" s="309"/>
      <c r="K222" s="309"/>
    </row>
    <row r="223" spans="1:11" s="300" customFormat="1" ht="21" customHeight="1">
      <c r="A223" s="303"/>
      <c r="B223" s="304"/>
      <c r="C223" s="307"/>
      <c r="D223" s="310"/>
      <c r="E223" s="311"/>
      <c r="F223" s="307"/>
      <c r="G223" s="312"/>
      <c r="H223" s="313"/>
      <c r="I223" s="307"/>
      <c r="J223" s="309"/>
      <c r="K223" s="309"/>
    </row>
    <row r="224" spans="1:11" s="300" customFormat="1" ht="21" customHeight="1">
      <c r="A224" s="303"/>
      <c r="B224" s="304"/>
      <c r="C224" s="307"/>
      <c r="D224" s="310"/>
      <c r="E224" s="311"/>
      <c r="F224" s="307"/>
      <c r="G224" s="312"/>
      <c r="H224" s="313"/>
      <c r="I224" s="307"/>
      <c r="J224" s="309"/>
      <c r="K224" s="309"/>
    </row>
    <row r="225" spans="1:11" s="300" customFormat="1" ht="21" customHeight="1">
      <c r="A225" s="303"/>
      <c r="B225" s="304"/>
      <c r="C225" s="307"/>
      <c r="D225" s="310"/>
      <c r="E225" s="311"/>
      <c r="F225" s="307"/>
      <c r="G225" s="312"/>
      <c r="H225" s="313"/>
      <c r="I225" s="307"/>
      <c r="J225" s="309"/>
      <c r="K225" s="309"/>
    </row>
    <row r="226" spans="1:11" s="300" customFormat="1" ht="21" customHeight="1">
      <c r="A226" s="303"/>
      <c r="B226" s="304"/>
      <c r="C226" s="307"/>
      <c r="D226" s="310"/>
      <c r="E226" s="311"/>
      <c r="F226" s="307"/>
      <c r="G226" s="312"/>
      <c r="H226" s="313"/>
      <c r="I226" s="307"/>
      <c r="J226" s="309"/>
      <c r="K226" s="309"/>
    </row>
    <row r="227" spans="1:11" s="300" customFormat="1" ht="21" customHeight="1">
      <c r="A227" s="303"/>
      <c r="B227" s="304"/>
      <c r="C227" s="307"/>
      <c r="D227" s="310"/>
      <c r="E227" s="311"/>
      <c r="F227" s="307"/>
      <c r="G227" s="312"/>
      <c r="H227" s="313"/>
      <c r="I227" s="307"/>
      <c r="J227" s="309"/>
      <c r="K227" s="309"/>
    </row>
    <row r="228" spans="1:11" s="300" customFormat="1" ht="21" customHeight="1">
      <c r="A228" s="303"/>
      <c r="B228" s="304"/>
      <c r="C228" s="307"/>
      <c r="D228" s="310"/>
      <c r="E228" s="311"/>
      <c r="F228" s="307"/>
      <c r="G228" s="312"/>
      <c r="H228" s="313"/>
      <c r="I228" s="307"/>
      <c r="J228" s="309"/>
      <c r="K228" s="309"/>
    </row>
    <row r="229" spans="1:11" s="300" customFormat="1" ht="21" customHeight="1">
      <c r="A229" s="303"/>
      <c r="B229" s="304"/>
      <c r="C229" s="307"/>
      <c r="D229" s="310"/>
      <c r="E229" s="311"/>
      <c r="F229" s="307"/>
      <c r="G229" s="312"/>
      <c r="H229" s="313"/>
      <c r="I229" s="307"/>
      <c r="J229" s="309"/>
      <c r="K229" s="309"/>
    </row>
    <row r="230" spans="1:11" s="300" customFormat="1" ht="21" customHeight="1">
      <c r="A230" s="303"/>
      <c r="B230" s="304"/>
      <c r="C230" s="307"/>
      <c r="D230" s="310"/>
      <c r="E230" s="311"/>
      <c r="F230" s="307"/>
      <c r="G230" s="312"/>
      <c r="H230" s="313"/>
      <c r="I230" s="307"/>
      <c r="J230" s="309"/>
      <c r="K230" s="309"/>
    </row>
    <row r="231" spans="1:11" s="300" customFormat="1" ht="21" customHeight="1">
      <c r="A231" s="303"/>
      <c r="B231" s="304"/>
      <c r="C231" s="307"/>
      <c r="D231" s="310"/>
      <c r="E231" s="311"/>
      <c r="F231" s="307"/>
      <c r="G231" s="312"/>
      <c r="H231" s="313"/>
      <c r="I231" s="307"/>
      <c r="J231" s="309"/>
      <c r="K231" s="309"/>
    </row>
    <row r="232" spans="1:11" s="300" customFormat="1" ht="21" customHeight="1">
      <c r="A232" s="303"/>
      <c r="B232" s="304"/>
      <c r="C232" s="307"/>
      <c r="D232" s="310"/>
      <c r="E232" s="311"/>
      <c r="F232" s="307"/>
      <c r="G232" s="312"/>
      <c r="H232" s="313"/>
      <c r="I232" s="307"/>
      <c r="J232" s="309"/>
      <c r="K232" s="309"/>
    </row>
    <row r="233" spans="1:11" s="300" customFormat="1" ht="21" customHeight="1">
      <c r="A233" s="303"/>
      <c r="B233" s="304"/>
      <c r="C233" s="307"/>
      <c r="D233" s="310"/>
      <c r="E233" s="311"/>
      <c r="F233" s="307"/>
      <c r="G233" s="312"/>
      <c r="H233" s="313"/>
      <c r="I233" s="307"/>
      <c r="J233" s="309"/>
      <c r="K233" s="309"/>
    </row>
    <row r="234" spans="1:11" s="300" customFormat="1" ht="21" customHeight="1">
      <c r="A234" s="303"/>
      <c r="B234" s="304"/>
      <c r="C234" s="307"/>
      <c r="D234" s="310"/>
      <c r="E234" s="311"/>
      <c r="F234" s="307"/>
      <c r="G234" s="312"/>
      <c r="H234" s="313"/>
      <c r="I234" s="307"/>
      <c r="J234" s="309"/>
      <c r="K234" s="309"/>
    </row>
    <row r="235" spans="1:11" s="300" customFormat="1" ht="21" customHeight="1">
      <c r="A235" s="303"/>
      <c r="B235" s="304"/>
      <c r="C235" s="307"/>
      <c r="D235" s="310"/>
      <c r="E235" s="311"/>
      <c r="F235" s="307"/>
      <c r="G235" s="312"/>
      <c r="H235" s="313"/>
      <c r="I235" s="307"/>
      <c r="J235" s="309"/>
      <c r="K235" s="309"/>
    </row>
    <row r="236" spans="1:11" s="300" customFormat="1" ht="21" customHeight="1">
      <c r="A236" s="303"/>
      <c r="B236" s="304"/>
      <c r="C236" s="307"/>
      <c r="D236" s="310"/>
      <c r="E236" s="311"/>
      <c r="F236" s="307"/>
      <c r="G236" s="312"/>
      <c r="H236" s="313"/>
      <c r="I236" s="307"/>
      <c r="J236" s="309"/>
      <c r="K236" s="309"/>
    </row>
    <row r="237" spans="1:11" s="300" customFormat="1" ht="21" customHeight="1">
      <c r="A237" s="303"/>
      <c r="B237" s="304"/>
      <c r="C237" s="307"/>
      <c r="D237" s="310"/>
      <c r="E237" s="311"/>
      <c r="F237" s="307"/>
      <c r="G237" s="312"/>
      <c r="H237" s="313"/>
      <c r="I237" s="307"/>
      <c r="J237" s="309"/>
      <c r="K237" s="309"/>
    </row>
    <row r="238" spans="1:11" s="300" customFormat="1" ht="21" customHeight="1">
      <c r="A238" s="303"/>
      <c r="B238" s="304"/>
      <c r="C238" s="307"/>
      <c r="D238" s="310"/>
      <c r="E238" s="311"/>
      <c r="F238" s="307"/>
      <c r="G238" s="312"/>
      <c r="H238" s="313"/>
      <c r="I238" s="307"/>
      <c r="J238" s="309"/>
      <c r="K238" s="309"/>
    </row>
    <row r="239" spans="1:11" s="300" customFormat="1" ht="21" customHeight="1">
      <c r="A239" s="303"/>
      <c r="B239" s="304"/>
      <c r="C239" s="307"/>
      <c r="D239" s="310"/>
      <c r="E239" s="311"/>
      <c r="F239" s="307"/>
      <c r="G239" s="312"/>
      <c r="H239" s="313"/>
      <c r="I239" s="307"/>
      <c r="J239" s="309"/>
      <c r="K239" s="309"/>
    </row>
    <row r="240" spans="1:11" s="300" customFormat="1" ht="21" customHeight="1">
      <c r="A240" s="303"/>
      <c r="B240" s="304"/>
      <c r="C240" s="307"/>
      <c r="D240" s="310"/>
      <c r="E240" s="311"/>
      <c r="F240" s="307"/>
      <c r="G240" s="312"/>
      <c r="H240" s="313"/>
      <c r="I240" s="307"/>
      <c r="J240" s="309"/>
      <c r="K240" s="309"/>
    </row>
    <row r="241" spans="1:11" s="300" customFormat="1" ht="21" customHeight="1">
      <c r="A241" s="303"/>
      <c r="B241" s="304"/>
      <c r="C241" s="307"/>
      <c r="D241" s="310"/>
      <c r="E241" s="311"/>
      <c r="F241" s="307"/>
      <c r="G241" s="312"/>
      <c r="H241" s="313"/>
      <c r="I241" s="307"/>
      <c r="J241" s="309"/>
      <c r="K241" s="309"/>
    </row>
    <row r="242" spans="1:11" s="300" customFormat="1" ht="21" customHeight="1">
      <c r="A242" s="303"/>
      <c r="B242" s="304"/>
      <c r="C242" s="307"/>
      <c r="D242" s="310"/>
      <c r="E242" s="311"/>
      <c r="F242" s="307"/>
      <c r="G242" s="312"/>
      <c r="H242" s="313"/>
      <c r="I242" s="307"/>
      <c r="J242" s="309"/>
      <c r="K242" s="309"/>
    </row>
    <row r="243" spans="1:11" s="300" customFormat="1" ht="21" customHeight="1">
      <c r="A243" s="303"/>
      <c r="B243" s="304"/>
      <c r="C243" s="307"/>
      <c r="D243" s="310"/>
      <c r="E243" s="311"/>
      <c r="F243" s="307"/>
      <c r="G243" s="312"/>
      <c r="H243" s="313"/>
      <c r="I243" s="307"/>
      <c r="J243" s="309"/>
      <c r="K243" s="309"/>
    </row>
    <row r="244" spans="1:11" s="300" customFormat="1" ht="21" customHeight="1">
      <c r="A244" s="303"/>
      <c r="B244" s="304"/>
      <c r="C244" s="307"/>
      <c r="D244" s="310"/>
      <c r="E244" s="311"/>
      <c r="F244" s="307"/>
      <c r="G244" s="312"/>
      <c r="H244" s="313"/>
      <c r="I244" s="307"/>
      <c r="J244" s="309"/>
      <c r="K244" s="309"/>
    </row>
    <row r="245" spans="1:11" s="300" customFormat="1" ht="21" customHeight="1">
      <c r="A245" s="303"/>
      <c r="B245" s="304"/>
      <c r="C245" s="307"/>
      <c r="D245" s="310"/>
      <c r="E245" s="311"/>
      <c r="F245" s="307"/>
      <c r="G245" s="312"/>
      <c r="H245" s="313"/>
      <c r="I245" s="307"/>
      <c r="J245" s="309"/>
      <c r="K245" s="309"/>
    </row>
    <row r="246" spans="1:11" s="300" customFormat="1" ht="21" customHeight="1">
      <c r="A246" s="303"/>
      <c r="B246" s="304"/>
      <c r="C246" s="307"/>
      <c r="D246" s="310"/>
      <c r="E246" s="311"/>
      <c r="F246" s="307"/>
      <c r="G246" s="312"/>
      <c r="H246" s="313"/>
      <c r="I246" s="307"/>
      <c r="J246" s="309"/>
      <c r="K246" s="309"/>
    </row>
    <row r="247" spans="1:11" s="300" customFormat="1" ht="21" customHeight="1">
      <c r="A247" s="303"/>
      <c r="B247" s="304"/>
      <c r="C247" s="307"/>
      <c r="D247" s="310"/>
      <c r="E247" s="311"/>
      <c r="F247" s="307"/>
      <c r="G247" s="312"/>
      <c r="H247" s="313"/>
      <c r="I247" s="307"/>
      <c r="J247" s="309"/>
      <c r="K247" s="309"/>
    </row>
    <row r="248" spans="1:11" s="300" customFormat="1" ht="21" customHeight="1">
      <c r="A248" s="303"/>
      <c r="B248" s="304"/>
      <c r="C248" s="307"/>
      <c r="D248" s="310"/>
      <c r="E248" s="311"/>
      <c r="F248" s="307"/>
      <c r="G248" s="312"/>
      <c r="H248" s="313"/>
      <c r="I248" s="307"/>
      <c r="J248" s="309"/>
      <c r="K248" s="309"/>
    </row>
    <row r="249" spans="1:11" s="300" customFormat="1" ht="21" customHeight="1">
      <c r="A249" s="303"/>
      <c r="B249" s="304"/>
      <c r="C249" s="307"/>
      <c r="D249" s="310"/>
      <c r="E249" s="311"/>
      <c r="F249" s="307"/>
      <c r="G249" s="312"/>
      <c r="H249" s="313"/>
      <c r="I249" s="307"/>
      <c r="J249" s="309"/>
      <c r="K249" s="309"/>
    </row>
    <row r="250" spans="1:11" s="300" customFormat="1" ht="21" customHeight="1">
      <c r="A250" s="303"/>
      <c r="B250" s="304"/>
      <c r="C250" s="307"/>
      <c r="D250" s="310"/>
      <c r="E250" s="311"/>
      <c r="F250" s="307"/>
      <c r="G250" s="312"/>
      <c r="H250" s="313"/>
      <c r="I250" s="307"/>
      <c r="J250" s="309"/>
      <c r="K250" s="309"/>
    </row>
    <row r="251" spans="1:11" s="300" customFormat="1" ht="21" customHeight="1">
      <c r="A251" s="303"/>
      <c r="B251" s="304"/>
      <c r="C251" s="307"/>
      <c r="D251" s="310"/>
      <c r="E251" s="311"/>
      <c r="F251" s="307"/>
      <c r="G251" s="312"/>
      <c r="H251" s="313"/>
      <c r="I251" s="307"/>
      <c r="J251" s="309"/>
      <c r="K251" s="309"/>
    </row>
    <row r="252" spans="1:11" s="300" customFormat="1" ht="21" customHeight="1">
      <c r="A252" s="303"/>
      <c r="B252" s="304"/>
      <c r="C252" s="307"/>
      <c r="D252" s="310"/>
      <c r="E252" s="311"/>
      <c r="F252" s="307"/>
      <c r="G252" s="312"/>
      <c r="H252" s="313"/>
      <c r="I252" s="307"/>
      <c r="J252" s="309"/>
      <c r="K252" s="309"/>
    </row>
    <row r="253" spans="1:11" s="300" customFormat="1" ht="21" customHeight="1">
      <c r="A253" s="303"/>
      <c r="B253" s="304"/>
      <c r="C253" s="307"/>
      <c r="D253" s="310"/>
      <c r="E253" s="311"/>
      <c r="F253" s="307"/>
      <c r="G253" s="312"/>
      <c r="H253" s="313"/>
      <c r="I253" s="307"/>
      <c r="J253" s="309"/>
      <c r="K253" s="309"/>
    </row>
    <row r="254" spans="1:11" s="300" customFormat="1" ht="21" customHeight="1">
      <c r="A254" s="303"/>
      <c r="B254" s="304"/>
      <c r="C254" s="307"/>
      <c r="D254" s="310"/>
      <c r="E254" s="311"/>
      <c r="F254" s="307"/>
      <c r="G254" s="312"/>
      <c r="H254" s="313"/>
      <c r="I254" s="307"/>
      <c r="J254" s="309"/>
      <c r="K254" s="309"/>
    </row>
    <row r="255" spans="1:11" s="300" customFormat="1" ht="21" customHeight="1">
      <c r="A255" s="303"/>
      <c r="B255" s="304"/>
      <c r="C255" s="307"/>
      <c r="D255" s="310"/>
      <c r="E255" s="311"/>
      <c r="F255" s="307"/>
      <c r="G255" s="312"/>
      <c r="H255" s="313"/>
      <c r="I255" s="307"/>
      <c r="J255" s="309"/>
      <c r="K255" s="309"/>
    </row>
    <row r="256" spans="1:11" s="300" customFormat="1" ht="21" customHeight="1">
      <c r="A256" s="303"/>
      <c r="B256" s="304"/>
      <c r="C256" s="307"/>
      <c r="D256" s="310"/>
      <c r="E256" s="311"/>
      <c r="F256" s="307"/>
      <c r="G256" s="312"/>
      <c r="H256" s="313"/>
      <c r="I256" s="307"/>
      <c r="J256" s="309"/>
      <c r="K256" s="309"/>
    </row>
    <row r="257" spans="1:11" s="300" customFormat="1" ht="21" customHeight="1">
      <c r="A257" s="303"/>
      <c r="B257" s="304"/>
      <c r="C257" s="307"/>
      <c r="D257" s="310"/>
      <c r="E257" s="311"/>
      <c r="F257" s="307"/>
      <c r="G257" s="312"/>
      <c r="H257" s="313"/>
      <c r="I257" s="307"/>
      <c r="J257" s="309"/>
      <c r="K257" s="309"/>
    </row>
    <row r="258" spans="1:11" s="300" customFormat="1" ht="21" customHeight="1">
      <c r="A258" s="303"/>
      <c r="B258" s="304"/>
      <c r="C258" s="307"/>
      <c r="D258" s="310"/>
      <c r="E258" s="311"/>
      <c r="F258" s="307"/>
      <c r="G258" s="312"/>
      <c r="H258" s="313"/>
      <c r="I258" s="307"/>
      <c r="J258" s="309"/>
      <c r="K258" s="309"/>
    </row>
    <row r="259" spans="1:11" s="300" customFormat="1" ht="21" customHeight="1">
      <c r="A259" s="303"/>
      <c r="B259" s="304"/>
      <c r="C259" s="307"/>
      <c r="D259" s="310"/>
      <c r="E259" s="311"/>
      <c r="F259" s="307"/>
      <c r="G259" s="312"/>
      <c r="H259" s="313"/>
      <c r="I259" s="307"/>
      <c r="J259" s="309"/>
      <c r="K259" s="309"/>
    </row>
    <row r="260" spans="1:11" s="300" customFormat="1" ht="21" customHeight="1">
      <c r="A260" s="303"/>
      <c r="B260" s="304"/>
      <c r="C260" s="307"/>
      <c r="D260" s="310"/>
      <c r="E260" s="311"/>
      <c r="F260" s="307"/>
      <c r="G260" s="312"/>
      <c r="H260" s="313"/>
      <c r="I260" s="307"/>
      <c r="J260" s="309"/>
      <c r="K260" s="309"/>
    </row>
    <row r="261" spans="1:11" s="300" customFormat="1" ht="21" customHeight="1">
      <c r="A261" s="303"/>
      <c r="B261" s="304"/>
      <c r="C261" s="307"/>
      <c r="D261" s="310"/>
      <c r="E261" s="311"/>
      <c r="F261" s="307"/>
      <c r="G261" s="312"/>
      <c r="H261" s="313"/>
      <c r="I261" s="307"/>
      <c r="J261" s="309"/>
      <c r="K261" s="309"/>
    </row>
    <row r="262" spans="1:11" s="300" customFormat="1" ht="21" customHeight="1" thickBot="1">
      <c r="A262" s="316" t="s">
        <v>395</v>
      </c>
      <c r="B262" s="317"/>
      <c r="C262" s="318">
        <f>SUM(C25:C261)</f>
        <v>93937.97143289195</v>
      </c>
      <c r="D262" s="318">
        <f>SUM(D26:D261)</f>
        <v>121</v>
      </c>
      <c r="E262" s="318">
        <f>SUM(E26:E261)</f>
        <v>519999.99999999907</v>
      </c>
      <c r="F262" s="318">
        <v>0</v>
      </c>
      <c r="G262" s="318">
        <f>SUM(G26:G261)</f>
        <v>613937.9714328913</v>
      </c>
      <c r="H262" s="318">
        <f>SUM(H26:H261)</f>
        <v>613937.977935175</v>
      </c>
      <c r="I262" s="307"/>
      <c r="J262" s="309"/>
      <c r="K262" s="309"/>
    </row>
    <row r="263" spans="1:11" s="300" customFormat="1" ht="21" customHeight="1" thickBot="1">
      <c r="A263" s="319"/>
      <c r="B263" s="319"/>
      <c r="C263" s="319"/>
      <c r="D263" s="320"/>
      <c r="E263" s="320"/>
      <c r="F263" s="319"/>
      <c r="G263" s="360"/>
      <c r="H263" s="360"/>
      <c r="I263" s="307"/>
      <c r="J263" s="309"/>
      <c r="K263" s="309"/>
    </row>
    <row r="264" spans="1:11" s="300" customFormat="1" ht="21" customHeight="1" thickBot="1">
      <c r="A264" s="319"/>
      <c r="B264" s="319"/>
      <c r="C264" s="319"/>
      <c r="D264" s="320"/>
      <c r="E264" s="357"/>
      <c r="F264" s="357"/>
      <c r="G264" s="321" t="s">
        <v>209</v>
      </c>
      <c r="H264" s="322"/>
      <c r="I264" s="307"/>
      <c r="J264" s="309"/>
      <c r="K264" s="309"/>
    </row>
    <row r="265" spans="1:11" s="300" customFormat="1" ht="21" customHeight="1">
      <c r="A265" s="323"/>
      <c r="B265" s="323"/>
      <c r="C265" s="323"/>
      <c r="D265" s="324"/>
      <c r="E265" s="324"/>
      <c r="F265" s="323"/>
      <c r="G265" s="323"/>
      <c r="H265" s="324"/>
      <c r="I265" s="307"/>
      <c r="J265" s="309"/>
      <c r="K265" s="309"/>
    </row>
    <row r="266" spans="1:11" s="300" customFormat="1" ht="21" customHeight="1">
      <c r="A266" s="240"/>
      <c r="B266" s="240"/>
      <c r="C266" s="240"/>
      <c r="D266" s="325"/>
      <c r="E266" s="325"/>
      <c r="F266" s="240"/>
      <c r="G266" s="240"/>
      <c r="H266" s="325"/>
      <c r="I266" s="307"/>
      <c r="J266" s="309"/>
      <c r="K266" s="309"/>
    </row>
    <row r="267" spans="1:11" s="300" customFormat="1" ht="21" customHeight="1">
      <c r="A267" s="240"/>
      <c r="B267" s="240"/>
      <c r="C267" s="240"/>
      <c r="D267" s="325"/>
      <c r="E267" s="325"/>
      <c r="F267" s="240"/>
      <c r="G267" s="240"/>
      <c r="H267" s="325"/>
      <c r="I267" s="307"/>
      <c r="J267" s="309"/>
      <c r="K267" s="309"/>
    </row>
    <row r="268" spans="1:11" s="300" customFormat="1" ht="21" customHeight="1">
      <c r="A268" s="240"/>
      <c r="B268" s="240"/>
      <c r="C268" s="240"/>
      <c r="D268" s="325"/>
      <c r="E268" s="325"/>
      <c r="F268" s="240"/>
      <c r="G268" s="240"/>
      <c r="H268" s="325"/>
      <c r="I268" s="307"/>
      <c r="J268" s="309"/>
      <c r="K268" s="309"/>
    </row>
    <row r="269" spans="1:11" s="300" customFormat="1" ht="21" customHeight="1">
      <c r="A269" s="240"/>
      <c r="B269" s="240"/>
      <c r="C269" s="240"/>
      <c r="D269" s="325"/>
      <c r="E269" s="325"/>
      <c r="F269" s="240"/>
      <c r="G269" s="240"/>
      <c r="H269" s="325"/>
      <c r="I269" s="307"/>
      <c r="J269" s="309"/>
      <c r="K269" s="309"/>
    </row>
    <row r="270" spans="1:11" s="300" customFormat="1" ht="21" customHeight="1">
      <c r="A270" s="240"/>
      <c r="B270" s="240"/>
      <c r="C270" s="240"/>
      <c r="D270" s="325"/>
      <c r="E270" s="325"/>
      <c r="F270" s="240"/>
      <c r="G270" s="240"/>
      <c r="H270" s="325"/>
      <c r="I270" s="307"/>
      <c r="J270" s="309"/>
      <c r="K270" s="309"/>
    </row>
    <row r="271" spans="1:11" s="300" customFormat="1" ht="21" customHeight="1">
      <c r="A271" s="240"/>
      <c r="B271" s="240"/>
      <c r="C271" s="240"/>
      <c r="D271" s="325"/>
      <c r="E271" s="325"/>
      <c r="F271" s="240"/>
      <c r="G271" s="240"/>
      <c r="H271" s="325"/>
      <c r="I271" s="307"/>
      <c r="J271" s="309"/>
      <c r="K271" s="309"/>
    </row>
    <row r="272" spans="1:11" s="300" customFormat="1" ht="21" customHeight="1">
      <c r="A272" s="240"/>
      <c r="B272" s="240"/>
      <c r="C272" s="240"/>
      <c r="D272" s="325"/>
      <c r="E272" s="325"/>
      <c r="F272" s="240"/>
      <c r="G272" s="240"/>
      <c r="H272" s="325"/>
      <c r="I272" s="307"/>
      <c r="J272" s="309"/>
      <c r="K272" s="309"/>
    </row>
    <row r="273" spans="1:11" s="300" customFormat="1" ht="21" customHeight="1">
      <c r="A273" s="240"/>
      <c r="B273" s="240"/>
      <c r="C273" s="240"/>
      <c r="D273" s="240"/>
      <c r="E273" s="240"/>
      <c r="F273" s="240"/>
      <c r="G273" s="240"/>
      <c r="H273" s="325"/>
      <c r="I273" s="307"/>
      <c r="J273" s="309"/>
      <c r="K273" s="309"/>
    </row>
    <row r="274" spans="1:11" s="300" customFormat="1" ht="21" customHeight="1">
      <c r="A274" s="240"/>
      <c r="B274" s="240"/>
      <c r="C274" s="240"/>
      <c r="D274" s="240"/>
      <c r="E274" s="240"/>
      <c r="F274" s="240"/>
      <c r="G274" s="240"/>
      <c r="H274" s="325"/>
      <c r="I274" s="307"/>
      <c r="J274" s="309"/>
      <c r="K274" s="309"/>
    </row>
    <row r="275" spans="1:11" s="300" customFormat="1" ht="21" customHeight="1">
      <c r="A275" s="240"/>
      <c r="B275" s="240"/>
      <c r="C275" s="240"/>
      <c r="D275" s="240"/>
      <c r="E275" s="240"/>
      <c r="F275" s="240"/>
      <c r="G275" s="240"/>
      <c r="H275" s="325"/>
      <c r="I275" s="307"/>
      <c r="J275" s="309"/>
      <c r="K275" s="309"/>
    </row>
    <row r="276" spans="1:11" s="300" customFormat="1" ht="21" customHeight="1">
      <c r="A276" s="240"/>
      <c r="B276" s="240"/>
      <c r="C276" s="240"/>
      <c r="D276" s="240"/>
      <c r="E276" s="240"/>
      <c r="F276" s="240"/>
      <c r="G276" s="240"/>
      <c r="H276" s="325"/>
      <c r="I276" s="307"/>
      <c r="J276" s="309"/>
      <c r="K276" s="309"/>
    </row>
    <row r="277" spans="1:11" s="300" customFormat="1" ht="21" customHeight="1">
      <c r="A277" s="240"/>
      <c r="B277" s="240"/>
      <c r="C277" s="240"/>
      <c r="D277" s="240"/>
      <c r="E277" s="240"/>
      <c r="F277" s="240"/>
      <c r="G277" s="240"/>
      <c r="H277" s="325"/>
      <c r="I277" s="307"/>
      <c r="J277" s="309"/>
      <c r="K277" s="309"/>
    </row>
    <row r="278" spans="1:11" s="300" customFormat="1" ht="21" customHeight="1">
      <c r="A278" s="240"/>
      <c r="B278" s="240"/>
      <c r="C278" s="240"/>
      <c r="D278" s="240"/>
      <c r="E278" s="240"/>
      <c r="F278" s="240"/>
      <c r="G278" s="240"/>
      <c r="H278" s="325"/>
      <c r="I278" s="307"/>
      <c r="J278" s="309"/>
      <c r="K278" s="309"/>
    </row>
    <row r="279" spans="1:11" s="300" customFormat="1" ht="21" customHeight="1">
      <c r="A279" s="240"/>
      <c r="B279" s="240"/>
      <c r="C279" s="240"/>
      <c r="D279" s="240"/>
      <c r="E279" s="240"/>
      <c r="F279" s="240"/>
      <c r="G279" s="240"/>
      <c r="H279" s="325"/>
      <c r="I279" s="307"/>
      <c r="J279" s="309"/>
      <c r="K279" s="309"/>
    </row>
    <row r="280" spans="1:11" s="300" customFormat="1" ht="21" customHeight="1">
      <c r="A280" s="240"/>
      <c r="B280" s="240"/>
      <c r="C280" s="240"/>
      <c r="D280" s="240"/>
      <c r="E280" s="240"/>
      <c r="F280" s="240"/>
      <c r="G280" s="240"/>
      <c r="H280" s="325"/>
      <c r="I280" s="307"/>
      <c r="J280" s="309"/>
      <c r="K280" s="309"/>
    </row>
    <row r="281" spans="1:11" s="300" customFormat="1" ht="21" customHeight="1">
      <c r="A281" s="240"/>
      <c r="B281" s="240"/>
      <c r="C281" s="240"/>
      <c r="D281" s="240"/>
      <c r="E281" s="240"/>
      <c r="F281" s="240"/>
      <c r="G281" s="240"/>
      <c r="H281" s="325"/>
      <c r="I281" s="307"/>
      <c r="J281" s="309"/>
      <c r="K281" s="309"/>
    </row>
    <row r="282" spans="1:11" s="300" customFormat="1" ht="21" customHeight="1">
      <c r="A282" s="240"/>
      <c r="B282" s="240"/>
      <c r="C282" s="240"/>
      <c r="D282" s="240"/>
      <c r="E282" s="240"/>
      <c r="F282" s="240"/>
      <c r="G282" s="240"/>
      <c r="H282" s="325"/>
      <c r="I282" s="307"/>
      <c r="J282" s="309"/>
      <c r="K282" s="309"/>
    </row>
    <row r="283" spans="1:11" s="300" customFormat="1" ht="21" customHeight="1">
      <c r="A283" s="240"/>
      <c r="B283" s="240"/>
      <c r="C283" s="240"/>
      <c r="D283" s="240"/>
      <c r="E283" s="240"/>
      <c r="F283" s="240"/>
      <c r="G283" s="240"/>
      <c r="H283" s="325"/>
      <c r="I283" s="307"/>
      <c r="J283" s="309"/>
      <c r="K283" s="309"/>
    </row>
    <row r="284" spans="1:11" s="300" customFormat="1" ht="21" customHeight="1">
      <c r="A284" s="240"/>
      <c r="B284" s="240"/>
      <c r="C284" s="240"/>
      <c r="D284" s="240"/>
      <c r="E284" s="240"/>
      <c r="F284" s="240"/>
      <c r="G284" s="240"/>
      <c r="H284" s="325"/>
      <c r="I284" s="307"/>
      <c r="J284" s="309"/>
      <c r="K284" s="309"/>
    </row>
    <row r="285" spans="1:11" s="300" customFormat="1" ht="21" customHeight="1">
      <c r="A285" s="240"/>
      <c r="B285" s="240"/>
      <c r="C285" s="240"/>
      <c r="D285" s="240"/>
      <c r="E285" s="240"/>
      <c r="F285" s="240"/>
      <c r="G285" s="240"/>
      <c r="H285" s="325"/>
      <c r="I285" s="307"/>
      <c r="J285" s="309"/>
      <c r="K285" s="309"/>
    </row>
    <row r="286" spans="1:11" s="300" customFormat="1" ht="21" customHeight="1">
      <c r="A286" s="240"/>
      <c r="B286" s="240"/>
      <c r="C286" s="240"/>
      <c r="D286" s="240"/>
      <c r="E286" s="240"/>
      <c r="F286" s="240"/>
      <c r="G286" s="240"/>
      <c r="H286" s="325"/>
      <c r="I286" s="307"/>
      <c r="J286" s="309"/>
      <c r="K286" s="309"/>
    </row>
    <row r="287" spans="1:11" s="300" customFormat="1" ht="21" customHeight="1">
      <c r="A287" s="240"/>
      <c r="B287" s="240"/>
      <c r="C287" s="240"/>
      <c r="D287" s="240"/>
      <c r="E287" s="240"/>
      <c r="F287" s="240"/>
      <c r="G287" s="240"/>
      <c r="H287" s="325"/>
      <c r="I287" s="307"/>
      <c r="J287" s="309"/>
      <c r="K287" s="309"/>
    </row>
    <row r="288" spans="1:11" s="300" customFormat="1" ht="21" customHeight="1">
      <c r="A288" s="240"/>
      <c r="B288" s="240"/>
      <c r="C288" s="240"/>
      <c r="D288" s="240"/>
      <c r="E288" s="240"/>
      <c r="F288" s="240"/>
      <c r="G288" s="240"/>
      <c r="H288" s="325"/>
      <c r="I288" s="307"/>
      <c r="J288" s="309"/>
      <c r="K288" s="309"/>
    </row>
    <row r="289" spans="1:11" s="300" customFormat="1" ht="21" customHeight="1">
      <c r="A289" s="240"/>
      <c r="B289" s="240"/>
      <c r="C289" s="240"/>
      <c r="D289" s="240"/>
      <c r="E289" s="240"/>
      <c r="F289" s="240"/>
      <c r="G289" s="240"/>
      <c r="H289" s="325"/>
      <c r="I289" s="307"/>
      <c r="J289" s="309"/>
      <c r="K289" s="309"/>
    </row>
    <row r="290" spans="1:11" s="300" customFormat="1" ht="21" customHeight="1">
      <c r="A290" s="240"/>
      <c r="B290" s="240"/>
      <c r="C290" s="240"/>
      <c r="D290" s="240"/>
      <c r="E290" s="240"/>
      <c r="F290" s="240"/>
      <c r="G290" s="240"/>
      <c r="H290" s="325"/>
      <c r="I290" s="307"/>
      <c r="J290" s="309"/>
      <c r="K290" s="309"/>
    </row>
    <row r="291" spans="1:11" s="300" customFormat="1" ht="21" customHeight="1">
      <c r="A291" s="240"/>
      <c r="B291" s="240"/>
      <c r="C291" s="240"/>
      <c r="D291" s="240"/>
      <c r="E291" s="240"/>
      <c r="F291" s="240"/>
      <c r="G291" s="240"/>
      <c r="H291" s="325"/>
      <c r="I291" s="307"/>
      <c r="J291" s="309"/>
      <c r="K291" s="309"/>
    </row>
    <row r="292" spans="1:11" s="300" customFormat="1" ht="21" customHeight="1">
      <c r="A292" s="240"/>
      <c r="B292" s="240"/>
      <c r="C292" s="240"/>
      <c r="D292" s="240"/>
      <c r="E292" s="240"/>
      <c r="F292" s="240"/>
      <c r="G292" s="240"/>
      <c r="H292" s="325"/>
      <c r="I292" s="307"/>
      <c r="J292" s="309"/>
      <c r="K292" s="309"/>
    </row>
    <row r="293" spans="1:11" s="300" customFormat="1" ht="21" customHeight="1">
      <c r="A293" s="240"/>
      <c r="B293" s="240"/>
      <c r="C293" s="240"/>
      <c r="D293" s="240"/>
      <c r="E293" s="240"/>
      <c r="F293" s="240"/>
      <c r="G293" s="240"/>
      <c r="H293" s="325"/>
      <c r="I293" s="307"/>
      <c r="J293" s="309"/>
      <c r="K293" s="309"/>
    </row>
    <row r="294" spans="1:11" s="300" customFormat="1" ht="21" customHeight="1">
      <c r="A294" s="240"/>
      <c r="B294" s="240"/>
      <c r="C294" s="240"/>
      <c r="D294" s="240"/>
      <c r="E294" s="240"/>
      <c r="F294" s="240"/>
      <c r="G294" s="240"/>
      <c r="H294" s="325"/>
      <c r="I294" s="307"/>
      <c r="J294" s="309"/>
      <c r="K294" s="309"/>
    </row>
    <row r="295" spans="1:11" s="300" customFormat="1" ht="21" customHeight="1">
      <c r="A295" s="240"/>
      <c r="B295" s="240"/>
      <c r="C295" s="240"/>
      <c r="D295" s="240"/>
      <c r="E295" s="240"/>
      <c r="F295" s="240"/>
      <c r="G295" s="240"/>
      <c r="H295" s="325"/>
      <c r="I295" s="307"/>
      <c r="J295" s="309"/>
      <c r="K295" s="309"/>
    </row>
    <row r="296" spans="1:11" s="300" customFormat="1" ht="21" customHeight="1">
      <c r="A296" s="240"/>
      <c r="B296" s="240"/>
      <c r="C296" s="240"/>
      <c r="D296" s="240"/>
      <c r="E296" s="240"/>
      <c r="F296" s="240"/>
      <c r="G296" s="240"/>
      <c r="H296" s="325"/>
      <c r="I296" s="307"/>
      <c r="J296" s="309"/>
      <c r="K296" s="309"/>
    </row>
    <row r="297" spans="1:11" s="300" customFormat="1" ht="21" customHeight="1">
      <c r="A297" s="240"/>
      <c r="B297" s="240"/>
      <c r="C297" s="240"/>
      <c r="D297" s="240"/>
      <c r="E297" s="240"/>
      <c r="F297" s="240"/>
      <c r="G297" s="240"/>
      <c r="H297" s="325"/>
      <c r="I297" s="307"/>
      <c r="J297" s="309"/>
      <c r="K297" s="309"/>
    </row>
    <row r="298" spans="1:11" s="300" customFormat="1" ht="21" customHeight="1">
      <c r="A298" s="240"/>
      <c r="B298" s="240"/>
      <c r="C298" s="240"/>
      <c r="D298" s="240"/>
      <c r="E298" s="240"/>
      <c r="F298" s="240"/>
      <c r="G298" s="240"/>
      <c r="H298" s="325"/>
      <c r="I298" s="307"/>
      <c r="J298" s="309"/>
      <c r="K298" s="309"/>
    </row>
    <row r="299" spans="1:11" s="300" customFormat="1" ht="21" customHeight="1">
      <c r="A299" s="240"/>
      <c r="B299" s="240"/>
      <c r="C299" s="240"/>
      <c r="D299" s="240"/>
      <c r="E299" s="240"/>
      <c r="F299" s="240"/>
      <c r="G299" s="240"/>
      <c r="H299" s="325"/>
      <c r="I299" s="307"/>
      <c r="J299" s="309"/>
      <c r="K299" s="309"/>
    </row>
    <row r="300" spans="1:11" s="300" customFormat="1" ht="21" customHeight="1">
      <c r="A300" s="240"/>
      <c r="B300" s="240"/>
      <c r="C300" s="240"/>
      <c r="D300" s="240"/>
      <c r="E300" s="240"/>
      <c r="F300" s="240"/>
      <c r="G300" s="240"/>
      <c r="H300" s="325"/>
      <c r="I300" s="307"/>
      <c r="J300" s="309"/>
      <c r="K300" s="309"/>
    </row>
    <row r="301" spans="1:11" s="300" customFormat="1" ht="21" customHeight="1">
      <c r="A301" s="240"/>
      <c r="B301" s="240"/>
      <c r="C301" s="240"/>
      <c r="D301" s="240"/>
      <c r="E301" s="240"/>
      <c r="F301" s="240"/>
      <c r="G301" s="240"/>
      <c r="H301" s="325"/>
      <c r="I301" s="307"/>
      <c r="J301" s="309"/>
      <c r="K301" s="309"/>
    </row>
    <row r="302" spans="1:11" s="300" customFormat="1" ht="21" customHeight="1">
      <c r="A302" s="240"/>
      <c r="B302" s="240"/>
      <c r="C302" s="240"/>
      <c r="D302" s="240"/>
      <c r="E302" s="240"/>
      <c r="F302" s="240"/>
      <c r="G302" s="240"/>
      <c r="H302" s="325"/>
      <c r="I302" s="307"/>
      <c r="J302" s="309"/>
      <c r="K302" s="309"/>
    </row>
    <row r="303" spans="1:11" s="300" customFormat="1" ht="21" customHeight="1">
      <c r="A303" s="240"/>
      <c r="B303" s="240"/>
      <c r="C303" s="240"/>
      <c r="D303" s="240"/>
      <c r="E303" s="240"/>
      <c r="F303" s="240"/>
      <c r="G303" s="240"/>
      <c r="H303" s="325"/>
      <c r="I303" s="307"/>
      <c r="J303" s="309"/>
      <c r="K303" s="309"/>
    </row>
    <row r="304" spans="1:11" s="300" customFormat="1" ht="21" customHeight="1">
      <c r="A304" s="240"/>
      <c r="B304" s="240"/>
      <c r="C304" s="240"/>
      <c r="D304" s="240"/>
      <c r="E304" s="240"/>
      <c r="F304" s="240"/>
      <c r="G304" s="240"/>
      <c r="H304" s="325"/>
      <c r="I304" s="307"/>
      <c r="J304" s="309"/>
      <c r="K304" s="309"/>
    </row>
    <row r="305" spans="1:11" s="300" customFormat="1" ht="21" customHeight="1">
      <c r="A305" s="240"/>
      <c r="B305" s="240"/>
      <c r="C305" s="240"/>
      <c r="D305" s="240"/>
      <c r="E305" s="240"/>
      <c r="F305" s="240"/>
      <c r="G305" s="240"/>
      <c r="H305" s="325"/>
      <c r="I305" s="307"/>
      <c r="J305" s="309"/>
      <c r="K305" s="309"/>
    </row>
    <row r="306" spans="1:11" s="300" customFormat="1" ht="21" customHeight="1">
      <c r="A306" s="240"/>
      <c r="B306" s="240"/>
      <c r="C306" s="240"/>
      <c r="D306" s="240"/>
      <c r="E306" s="240"/>
      <c r="F306" s="240"/>
      <c r="G306" s="240"/>
      <c r="H306" s="325"/>
      <c r="I306" s="307"/>
      <c r="J306" s="309"/>
      <c r="K306" s="309"/>
    </row>
    <row r="307" spans="1:11" s="300" customFormat="1" ht="21" customHeight="1">
      <c r="A307" s="240"/>
      <c r="B307" s="240"/>
      <c r="C307" s="240"/>
      <c r="D307" s="240"/>
      <c r="E307" s="240"/>
      <c r="F307" s="240"/>
      <c r="G307" s="240"/>
      <c r="H307" s="325"/>
      <c r="I307" s="307"/>
      <c r="J307" s="309"/>
      <c r="K307" s="309"/>
    </row>
    <row r="308" spans="1:11" s="300" customFormat="1" ht="21" customHeight="1">
      <c r="A308" s="240"/>
      <c r="B308" s="240"/>
      <c r="C308" s="240"/>
      <c r="D308" s="240"/>
      <c r="E308" s="240"/>
      <c r="F308" s="240"/>
      <c r="G308" s="240"/>
      <c r="H308" s="325"/>
      <c r="I308" s="307"/>
      <c r="J308" s="309"/>
      <c r="K308" s="309"/>
    </row>
    <row r="309" spans="1:11" s="300" customFormat="1" ht="21" customHeight="1">
      <c r="A309" s="240"/>
      <c r="B309" s="240"/>
      <c r="C309" s="240"/>
      <c r="D309" s="240"/>
      <c r="E309" s="240"/>
      <c r="F309" s="240"/>
      <c r="G309" s="240"/>
      <c r="H309" s="325"/>
      <c r="I309" s="307"/>
      <c r="J309" s="309"/>
      <c r="K309" s="309"/>
    </row>
    <row r="310" spans="1:11" s="300" customFormat="1" ht="21" customHeight="1">
      <c r="A310" s="240"/>
      <c r="B310" s="240"/>
      <c r="C310" s="240"/>
      <c r="D310" s="240"/>
      <c r="E310" s="240"/>
      <c r="F310" s="240"/>
      <c r="G310" s="240"/>
      <c r="H310" s="325"/>
      <c r="I310" s="307"/>
      <c r="J310" s="309"/>
      <c r="K310" s="309"/>
    </row>
    <row r="311" spans="1:11" s="300" customFormat="1" ht="21" customHeight="1">
      <c r="A311" s="240"/>
      <c r="B311" s="240"/>
      <c r="C311" s="240"/>
      <c r="D311" s="240"/>
      <c r="E311" s="240"/>
      <c r="F311" s="240"/>
      <c r="G311" s="240"/>
      <c r="H311" s="325"/>
      <c r="I311" s="307"/>
      <c r="J311" s="309"/>
      <c r="K311" s="309"/>
    </row>
    <row r="312" spans="1:11" s="300" customFormat="1" ht="21" customHeight="1">
      <c r="A312" s="240"/>
      <c r="B312" s="240"/>
      <c r="C312" s="240"/>
      <c r="D312" s="240"/>
      <c r="E312" s="240"/>
      <c r="F312" s="240"/>
      <c r="G312" s="240"/>
      <c r="H312" s="325"/>
      <c r="I312" s="307"/>
      <c r="J312" s="309"/>
      <c r="K312" s="309"/>
    </row>
    <row r="313" spans="1:11" s="300" customFormat="1" ht="21" customHeight="1">
      <c r="A313" s="240"/>
      <c r="B313" s="240"/>
      <c r="C313" s="240"/>
      <c r="D313" s="240"/>
      <c r="E313" s="240"/>
      <c r="F313" s="240"/>
      <c r="G313" s="240"/>
      <c r="H313" s="325"/>
      <c r="I313" s="307"/>
      <c r="J313" s="309"/>
      <c r="K313" s="309"/>
    </row>
    <row r="314" spans="1:11" s="300" customFormat="1" ht="21" customHeight="1">
      <c r="A314" s="240"/>
      <c r="B314" s="240"/>
      <c r="C314" s="240"/>
      <c r="D314" s="240"/>
      <c r="E314" s="240"/>
      <c r="F314" s="240"/>
      <c r="G314" s="240"/>
      <c r="H314" s="325"/>
      <c r="I314" s="307"/>
      <c r="J314" s="309"/>
      <c r="K314" s="309"/>
    </row>
    <row r="315" spans="1:11" s="300" customFormat="1" ht="21" customHeight="1">
      <c r="A315" s="240"/>
      <c r="B315" s="240"/>
      <c r="C315" s="240"/>
      <c r="D315" s="240"/>
      <c r="E315" s="240"/>
      <c r="F315" s="240"/>
      <c r="G315" s="240"/>
      <c r="H315" s="325"/>
      <c r="I315" s="307"/>
      <c r="J315" s="309"/>
      <c r="K315" s="309"/>
    </row>
    <row r="316" spans="1:11" s="300" customFormat="1" ht="21" customHeight="1">
      <c r="A316" s="240"/>
      <c r="B316" s="240"/>
      <c r="C316" s="240"/>
      <c r="D316" s="240"/>
      <c r="E316" s="240"/>
      <c r="F316" s="240"/>
      <c r="G316" s="240"/>
      <c r="H316" s="325"/>
      <c r="I316" s="307"/>
      <c r="J316" s="309"/>
      <c r="K316" s="309"/>
    </row>
    <row r="317" spans="1:11" s="300" customFormat="1" ht="21" customHeight="1">
      <c r="A317" s="240"/>
      <c r="B317" s="240"/>
      <c r="C317" s="240"/>
      <c r="D317" s="240"/>
      <c r="E317" s="240"/>
      <c r="F317" s="240"/>
      <c r="G317" s="240"/>
      <c r="H317" s="325"/>
      <c r="I317" s="307"/>
      <c r="J317" s="309"/>
      <c r="K317" s="309"/>
    </row>
    <row r="318" spans="1:11" s="300" customFormat="1" ht="21" customHeight="1">
      <c r="A318" s="240"/>
      <c r="B318" s="240"/>
      <c r="C318" s="240"/>
      <c r="D318" s="240"/>
      <c r="E318" s="240"/>
      <c r="F318" s="240"/>
      <c r="G318" s="240"/>
      <c r="H318" s="325"/>
      <c r="I318" s="307"/>
      <c r="J318" s="309"/>
      <c r="K318" s="309"/>
    </row>
    <row r="319" spans="1:11" s="300" customFormat="1" ht="21" customHeight="1">
      <c r="A319" s="240"/>
      <c r="B319" s="240"/>
      <c r="C319" s="240"/>
      <c r="D319" s="240"/>
      <c r="E319" s="240"/>
      <c r="F319" s="240"/>
      <c r="G319" s="240"/>
      <c r="H319" s="325"/>
      <c r="I319" s="307"/>
      <c r="J319" s="309"/>
      <c r="K319" s="309"/>
    </row>
    <row r="320" spans="1:11" s="300" customFormat="1" ht="21" customHeight="1">
      <c r="A320" s="240"/>
      <c r="B320" s="240"/>
      <c r="C320" s="240"/>
      <c r="D320" s="240"/>
      <c r="E320" s="240"/>
      <c r="F320" s="240"/>
      <c r="G320" s="240"/>
      <c r="H320" s="325"/>
      <c r="I320" s="307"/>
      <c r="J320" s="309"/>
      <c r="K320" s="309"/>
    </row>
    <row r="321" spans="1:11" s="300" customFormat="1" ht="21" customHeight="1">
      <c r="A321" s="240"/>
      <c r="B321" s="240"/>
      <c r="C321" s="240"/>
      <c r="D321" s="240"/>
      <c r="E321" s="240"/>
      <c r="F321" s="240"/>
      <c r="G321" s="240"/>
      <c r="H321" s="325"/>
      <c r="I321" s="307"/>
      <c r="J321" s="309"/>
      <c r="K321" s="309"/>
    </row>
    <row r="322" spans="1:11" s="300" customFormat="1" ht="21" customHeight="1">
      <c r="A322" s="240"/>
      <c r="B322" s="240"/>
      <c r="C322" s="240"/>
      <c r="D322" s="240"/>
      <c r="E322" s="240"/>
      <c r="F322" s="240"/>
      <c r="G322" s="240"/>
      <c r="H322" s="325"/>
      <c r="I322" s="307"/>
      <c r="J322" s="309"/>
      <c r="K322" s="309"/>
    </row>
    <row r="323" spans="1:11" s="300" customFormat="1" ht="21" customHeight="1">
      <c r="A323" s="240"/>
      <c r="B323" s="240"/>
      <c r="C323" s="240"/>
      <c r="D323" s="240"/>
      <c r="E323" s="240"/>
      <c r="F323" s="240"/>
      <c r="G323" s="240"/>
      <c r="H323" s="325"/>
      <c r="I323" s="307"/>
      <c r="J323" s="309"/>
      <c r="K323" s="309"/>
    </row>
    <row r="324" spans="1:11" s="300" customFormat="1" ht="21" customHeight="1">
      <c r="A324" s="240"/>
      <c r="B324" s="240"/>
      <c r="C324" s="240"/>
      <c r="D324" s="240"/>
      <c r="E324" s="240"/>
      <c r="F324" s="240"/>
      <c r="G324" s="240"/>
      <c r="H324" s="325"/>
      <c r="I324" s="307"/>
      <c r="J324" s="309"/>
      <c r="K324" s="309"/>
    </row>
    <row r="325" spans="1:11" s="300" customFormat="1" ht="21" customHeight="1">
      <c r="A325" s="240"/>
      <c r="B325" s="240"/>
      <c r="C325" s="240"/>
      <c r="D325" s="240"/>
      <c r="E325" s="240"/>
      <c r="F325" s="240"/>
      <c r="G325" s="240"/>
      <c r="H325" s="325"/>
      <c r="I325" s="307"/>
      <c r="J325" s="309"/>
      <c r="K325" s="309"/>
    </row>
    <row r="326" spans="1:11" s="300" customFormat="1" ht="21" customHeight="1">
      <c r="A326" s="240"/>
      <c r="B326" s="240"/>
      <c r="C326" s="240"/>
      <c r="D326" s="240"/>
      <c r="E326" s="240"/>
      <c r="F326" s="240"/>
      <c r="G326" s="240"/>
      <c r="H326" s="325"/>
      <c r="I326" s="307"/>
      <c r="J326" s="309"/>
      <c r="K326" s="309"/>
    </row>
    <row r="327" spans="1:11" s="300" customFormat="1" ht="21" customHeight="1">
      <c r="A327" s="240"/>
      <c r="B327" s="240"/>
      <c r="C327" s="240"/>
      <c r="D327" s="240"/>
      <c r="E327" s="240"/>
      <c r="F327" s="240"/>
      <c r="G327" s="240"/>
      <c r="H327" s="325"/>
      <c r="I327" s="307"/>
      <c r="J327" s="309"/>
      <c r="K327" s="309"/>
    </row>
    <row r="328" spans="1:11" s="300" customFormat="1" ht="21" customHeight="1">
      <c r="A328" s="240"/>
      <c r="B328" s="240"/>
      <c r="C328" s="240"/>
      <c r="D328" s="240"/>
      <c r="E328" s="240"/>
      <c r="F328" s="240"/>
      <c r="G328" s="240"/>
      <c r="H328" s="325"/>
      <c r="I328" s="307"/>
      <c r="J328" s="309"/>
      <c r="K328" s="309"/>
    </row>
    <row r="329" spans="1:11" s="300" customFormat="1" ht="21" customHeight="1">
      <c r="A329" s="240"/>
      <c r="B329" s="240"/>
      <c r="C329" s="240"/>
      <c r="D329" s="240"/>
      <c r="E329" s="240"/>
      <c r="F329" s="240"/>
      <c r="G329" s="240"/>
      <c r="H329" s="325"/>
      <c r="I329" s="307"/>
      <c r="J329" s="309"/>
      <c r="K329" s="309"/>
    </row>
    <row r="330" spans="1:11" s="300" customFormat="1" ht="21" customHeight="1">
      <c r="A330" s="240"/>
      <c r="B330" s="240"/>
      <c r="C330" s="240"/>
      <c r="D330" s="240"/>
      <c r="E330" s="240"/>
      <c r="F330" s="240"/>
      <c r="G330" s="240"/>
      <c r="H330" s="325"/>
      <c r="I330" s="307"/>
      <c r="J330" s="309"/>
      <c r="K330" s="309"/>
    </row>
    <row r="331" spans="1:11" s="300" customFormat="1" ht="21" customHeight="1">
      <c r="A331" s="240"/>
      <c r="B331" s="240"/>
      <c r="C331" s="240"/>
      <c r="D331" s="240"/>
      <c r="E331" s="240"/>
      <c r="F331" s="240"/>
      <c r="G331" s="240"/>
      <c r="H331" s="325"/>
      <c r="I331" s="307"/>
      <c r="J331" s="309"/>
      <c r="K331" s="309"/>
    </row>
    <row r="332" spans="1:11" s="300" customFormat="1" ht="21" customHeight="1">
      <c r="A332" s="240"/>
      <c r="B332" s="240"/>
      <c r="C332" s="240"/>
      <c r="D332" s="240"/>
      <c r="E332" s="240"/>
      <c r="F332" s="240"/>
      <c r="G332" s="240"/>
      <c r="H332" s="325"/>
      <c r="I332" s="307"/>
      <c r="J332" s="309"/>
      <c r="K332" s="309"/>
    </row>
    <row r="333" spans="1:11" s="300" customFormat="1" ht="21" customHeight="1">
      <c r="A333" s="240"/>
      <c r="B333" s="240"/>
      <c r="C333" s="240"/>
      <c r="D333" s="240"/>
      <c r="E333" s="240"/>
      <c r="F333" s="240"/>
      <c r="G333" s="240"/>
      <c r="H333" s="325"/>
      <c r="I333" s="307"/>
      <c r="J333" s="309"/>
      <c r="K333" s="309"/>
    </row>
    <row r="334" spans="1:11" s="300" customFormat="1" ht="21" customHeight="1">
      <c r="A334" s="240"/>
      <c r="B334" s="240"/>
      <c r="C334" s="240"/>
      <c r="D334" s="240"/>
      <c r="E334" s="240"/>
      <c r="F334" s="240"/>
      <c r="G334" s="240"/>
      <c r="H334" s="325"/>
      <c r="I334" s="307"/>
      <c r="J334" s="309"/>
      <c r="K334" s="309"/>
    </row>
    <row r="335" spans="1:11" s="300" customFormat="1" ht="21" customHeight="1">
      <c r="A335" s="240"/>
      <c r="B335" s="240"/>
      <c r="C335" s="240"/>
      <c r="D335" s="240"/>
      <c r="E335" s="240"/>
      <c r="F335" s="240"/>
      <c r="G335" s="240"/>
      <c r="H335" s="325"/>
      <c r="I335" s="307"/>
      <c r="J335" s="309"/>
      <c r="K335" s="309"/>
    </row>
    <row r="336" spans="1:11" s="300" customFormat="1" ht="21" customHeight="1">
      <c r="A336" s="240"/>
      <c r="B336" s="240"/>
      <c r="C336" s="240"/>
      <c r="D336" s="240"/>
      <c r="E336" s="240"/>
      <c r="F336" s="240"/>
      <c r="G336" s="240"/>
      <c r="H336" s="325"/>
      <c r="I336" s="307"/>
      <c r="J336" s="309"/>
      <c r="K336" s="309"/>
    </row>
    <row r="337" spans="1:11" s="300" customFormat="1" ht="21" customHeight="1">
      <c r="A337" s="240"/>
      <c r="B337" s="240"/>
      <c r="C337" s="240"/>
      <c r="D337" s="240"/>
      <c r="E337" s="240"/>
      <c r="F337" s="240"/>
      <c r="G337" s="240"/>
      <c r="H337" s="325"/>
      <c r="I337" s="307"/>
      <c r="J337" s="309"/>
      <c r="K337" s="309"/>
    </row>
    <row r="338" spans="1:11" s="300" customFormat="1" ht="21" customHeight="1">
      <c r="A338" s="240"/>
      <c r="B338" s="240"/>
      <c r="C338" s="240"/>
      <c r="D338" s="240"/>
      <c r="E338" s="240"/>
      <c r="F338" s="240"/>
      <c r="G338" s="240"/>
      <c r="H338" s="325"/>
      <c r="I338" s="307"/>
      <c r="J338" s="309"/>
      <c r="K338" s="309"/>
    </row>
    <row r="339" spans="1:11" s="300" customFormat="1" ht="21" customHeight="1">
      <c r="A339" s="240"/>
      <c r="B339" s="240"/>
      <c r="C339" s="240"/>
      <c r="D339" s="240"/>
      <c r="E339" s="240"/>
      <c r="F339" s="240"/>
      <c r="G339" s="240"/>
      <c r="H339" s="325"/>
      <c r="I339" s="307"/>
      <c r="J339" s="309"/>
      <c r="K339" s="309"/>
    </row>
    <row r="340" spans="1:11" s="300" customFormat="1" ht="21" customHeight="1">
      <c r="A340" s="240"/>
      <c r="B340" s="240"/>
      <c r="C340" s="240"/>
      <c r="D340" s="240"/>
      <c r="E340" s="240"/>
      <c r="F340" s="240"/>
      <c r="G340" s="240"/>
      <c r="H340" s="325"/>
      <c r="I340" s="307"/>
      <c r="J340" s="309"/>
      <c r="K340" s="309"/>
    </row>
    <row r="341" spans="1:11" s="300" customFormat="1" ht="21" customHeight="1">
      <c r="A341" s="240"/>
      <c r="B341" s="240"/>
      <c r="C341" s="240"/>
      <c r="D341" s="240"/>
      <c r="E341" s="240"/>
      <c r="F341" s="240"/>
      <c r="G341" s="240"/>
      <c r="H341" s="325"/>
      <c r="I341" s="307"/>
      <c r="J341" s="309"/>
      <c r="K341" s="309"/>
    </row>
    <row r="342" spans="1:11" s="300" customFormat="1" ht="21" customHeight="1">
      <c r="A342" s="240"/>
      <c r="B342" s="240"/>
      <c r="C342" s="240"/>
      <c r="D342" s="240"/>
      <c r="E342" s="240"/>
      <c r="F342" s="240"/>
      <c r="G342" s="240"/>
      <c r="H342" s="325"/>
      <c r="I342" s="307"/>
      <c r="J342" s="309"/>
      <c r="K342" s="309"/>
    </row>
    <row r="343" spans="1:11" s="300" customFormat="1" ht="21" customHeight="1">
      <c r="A343" s="240"/>
      <c r="B343" s="240"/>
      <c r="C343" s="240"/>
      <c r="D343" s="240"/>
      <c r="E343" s="240"/>
      <c r="F343" s="240"/>
      <c r="G343" s="240"/>
      <c r="H343" s="325"/>
      <c r="I343" s="307"/>
      <c r="J343" s="309"/>
      <c r="K343" s="309"/>
    </row>
    <row r="344" spans="1:11" s="300" customFormat="1" ht="21" customHeight="1">
      <c r="A344" s="240"/>
      <c r="B344" s="240"/>
      <c r="C344" s="240"/>
      <c r="D344" s="240"/>
      <c r="E344" s="240"/>
      <c r="F344" s="240"/>
      <c r="G344" s="240"/>
      <c r="H344" s="325"/>
      <c r="I344" s="307"/>
      <c r="J344" s="309"/>
      <c r="K344" s="309"/>
    </row>
    <row r="345" spans="1:11" s="300" customFormat="1" ht="21" customHeight="1">
      <c r="A345" s="240"/>
      <c r="B345" s="240"/>
      <c r="C345" s="240"/>
      <c r="D345" s="240"/>
      <c r="E345" s="240"/>
      <c r="F345" s="240"/>
      <c r="G345" s="240"/>
      <c r="H345" s="325"/>
      <c r="I345" s="307"/>
      <c r="J345" s="309"/>
      <c r="K345" s="309"/>
    </row>
    <row r="346" spans="1:11" s="300" customFormat="1" ht="21" customHeight="1">
      <c r="A346" s="240"/>
      <c r="B346" s="240"/>
      <c r="C346" s="240"/>
      <c r="D346" s="240"/>
      <c r="E346" s="240"/>
      <c r="F346" s="240"/>
      <c r="G346" s="240"/>
      <c r="H346" s="325"/>
      <c r="I346" s="307"/>
      <c r="J346" s="309"/>
      <c r="K346" s="309"/>
    </row>
    <row r="347" spans="1:11" s="300" customFormat="1" ht="21" customHeight="1">
      <c r="A347" s="240"/>
      <c r="B347" s="240"/>
      <c r="C347" s="240"/>
      <c r="D347" s="240"/>
      <c r="E347" s="240"/>
      <c r="F347" s="240"/>
      <c r="G347" s="240"/>
      <c r="H347" s="325"/>
      <c r="I347" s="307"/>
      <c r="J347" s="309"/>
      <c r="K347" s="309"/>
    </row>
    <row r="348" spans="1:11" s="300" customFormat="1" ht="21" customHeight="1">
      <c r="A348" s="240"/>
      <c r="B348" s="240"/>
      <c r="C348" s="240"/>
      <c r="D348" s="240"/>
      <c r="E348" s="240"/>
      <c r="F348" s="240"/>
      <c r="G348" s="240"/>
      <c r="H348" s="325"/>
      <c r="I348" s="307"/>
      <c r="J348" s="309"/>
      <c r="K348" s="309"/>
    </row>
    <row r="349" spans="1:11" s="300" customFormat="1" ht="21" customHeight="1">
      <c r="A349" s="240"/>
      <c r="B349" s="240"/>
      <c r="C349" s="240"/>
      <c r="D349" s="240"/>
      <c r="E349" s="240"/>
      <c r="F349" s="240"/>
      <c r="G349" s="240"/>
      <c r="H349" s="325"/>
      <c r="I349" s="307"/>
      <c r="J349" s="309"/>
      <c r="K349" s="309"/>
    </row>
    <row r="350" spans="1:11" s="300" customFormat="1" ht="21" customHeight="1">
      <c r="A350" s="240"/>
      <c r="B350" s="240"/>
      <c r="C350" s="240"/>
      <c r="D350" s="240"/>
      <c r="E350" s="240"/>
      <c r="F350" s="240"/>
      <c r="G350" s="240"/>
      <c r="H350" s="325"/>
      <c r="I350" s="307"/>
      <c r="J350" s="309"/>
      <c r="K350" s="309"/>
    </row>
    <row r="351" spans="1:11" s="300" customFormat="1" ht="21" customHeight="1">
      <c r="A351" s="240"/>
      <c r="B351" s="240"/>
      <c r="C351" s="240"/>
      <c r="D351" s="240"/>
      <c r="E351" s="240"/>
      <c r="F351" s="240"/>
      <c r="G351" s="240"/>
      <c r="H351" s="325"/>
      <c r="I351" s="307"/>
      <c r="J351" s="309"/>
      <c r="K351" s="309"/>
    </row>
    <row r="352" spans="1:11" s="300" customFormat="1" ht="21" customHeight="1">
      <c r="A352" s="240"/>
      <c r="B352" s="240"/>
      <c r="C352" s="240"/>
      <c r="D352" s="240"/>
      <c r="E352" s="240"/>
      <c r="F352" s="240"/>
      <c r="G352" s="240"/>
      <c r="H352" s="325"/>
      <c r="I352" s="307"/>
      <c r="J352" s="309"/>
      <c r="K352" s="309"/>
    </row>
    <row r="353" spans="1:11" s="300" customFormat="1" ht="21" customHeight="1">
      <c r="A353" s="240"/>
      <c r="B353" s="240"/>
      <c r="C353" s="240"/>
      <c r="D353" s="240"/>
      <c r="E353" s="240"/>
      <c r="F353" s="240"/>
      <c r="G353" s="240"/>
      <c r="H353" s="325"/>
      <c r="I353" s="307"/>
      <c r="J353" s="309"/>
      <c r="K353" s="309"/>
    </row>
    <row r="354" spans="1:11" s="300" customFormat="1" ht="21" customHeight="1">
      <c r="A354" s="240"/>
      <c r="B354" s="240"/>
      <c r="C354" s="240"/>
      <c r="D354" s="240"/>
      <c r="E354" s="240"/>
      <c r="F354" s="240"/>
      <c r="G354" s="240"/>
      <c r="H354" s="325"/>
      <c r="I354" s="307"/>
      <c r="J354" s="309"/>
      <c r="K354" s="309"/>
    </row>
    <row r="355" spans="1:11" s="300" customFormat="1" ht="21" customHeight="1">
      <c r="A355" s="240"/>
      <c r="B355" s="240"/>
      <c r="C355" s="240"/>
      <c r="D355" s="240"/>
      <c r="E355" s="240"/>
      <c r="F355" s="240"/>
      <c r="G355" s="240"/>
      <c r="H355" s="325"/>
      <c r="I355" s="307"/>
      <c r="J355" s="309"/>
      <c r="K355" s="309"/>
    </row>
    <row r="356" spans="1:11" s="300" customFormat="1" ht="21" customHeight="1">
      <c r="A356" s="240"/>
      <c r="B356" s="240"/>
      <c r="C356" s="240"/>
      <c r="D356" s="240"/>
      <c r="E356" s="240"/>
      <c r="F356" s="240"/>
      <c r="G356" s="240"/>
      <c r="H356" s="325"/>
      <c r="I356" s="307"/>
      <c r="J356" s="309"/>
      <c r="K356" s="309"/>
    </row>
    <row r="357" spans="1:11" s="300" customFormat="1" ht="21" customHeight="1">
      <c r="A357" s="240"/>
      <c r="B357" s="240"/>
      <c r="C357" s="240"/>
      <c r="D357" s="240"/>
      <c r="E357" s="240"/>
      <c r="F357" s="240"/>
      <c r="G357" s="240"/>
      <c r="H357" s="325"/>
      <c r="I357" s="307"/>
      <c r="J357" s="309"/>
      <c r="K357" s="309"/>
    </row>
    <row r="358" spans="1:11" s="300" customFormat="1" ht="21" customHeight="1">
      <c r="A358" s="240"/>
      <c r="B358" s="240"/>
      <c r="C358" s="240"/>
      <c r="D358" s="240"/>
      <c r="E358" s="240"/>
      <c r="F358" s="240"/>
      <c r="G358" s="240"/>
      <c r="H358" s="325"/>
      <c r="I358" s="307"/>
      <c r="J358" s="309"/>
      <c r="K358" s="309"/>
    </row>
    <row r="359" spans="1:11" s="300" customFormat="1" ht="21" customHeight="1">
      <c r="A359" s="240"/>
      <c r="B359" s="240"/>
      <c r="C359" s="240"/>
      <c r="D359" s="240"/>
      <c r="E359" s="240"/>
      <c r="F359" s="240"/>
      <c r="G359" s="240"/>
      <c r="H359" s="325"/>
      <c r="I359" s="307"/>
      <c r="J359" s="309"/>
      <c r="K359" s="309"/>
    </row>
    <row r="360" spans="1:11" s="300" customFormat="1" ht="21" customHeight="1">
      <c r="A360" s="240"/>
      <c r="B360" s="240"/>
      <c r="C360" s="240"/>
      <c r="D360" s="240"/>
      <c r="E360" s="240"/>
      <c r="F360" s="240"/>
      <c r="G360" s="240"/>
      <c r="H360" s="325"/>
      <c r="I360" s="307"/>
      <c r="J360" s="309"/>
      <c r="K360" s="309"/>
    </row>
    <row r="361" spans="1:11" s="300" customFormat="1" ht="21" customHeight="1">
      <c r="A361" s="240"/>
      <c r="B361" s="240"/>
      <c r="C361" s="240"/>
      <c r="D361" s="240"/>
      <c r="E361" s="240"/>
      <c r="F361" s="240"/>
      <c r="G361" s="240"/>
      <c r="H361" s="325"/>
      <c r="I361" s="307"/>
      <c r="J361" s="309"/>
      <c r="K361" s="309"/>
    </row>
    <row r="362" spans="1:11" s="300" customFormat="1" ht="21" customHeight="1">
      <c r="A362" s="240"/>
      <c r="B362" s="240"/>
      <c r="C362" s="240"/>
      <c r="D362" s="240"/>
      <c r="E362" s="240"/>
      <c r="F362" s="240"/>
      <c r="G362" s="240"/>
      <c r="H362" s="325"/>
      <c r="I362" s="307"/>
      <c r="J362" s="309"/>
      <c r="K362" s="309"/>
    </row>
    <row r="363" spans="1:11" s="300" customFormat="1" ht="21" customHeight="1">
      <c r="A363" s="240"/>
      <c r="B363" s="240"/>
      <c r="C363" s="240"/>
      <c r="D363" s="240"/>
      <c r="E363" s="240"/>
      <c r="F363" s="240"/>
      <c r="G363" s="240"/>
      <c r="H363" s="325"/>
      <c r="I363" s="307"/>
      <c r="J363" s="309"/>
      <c r="K363" s="309"/>
    </row>
    <row r="364" spans="1:11" s="300" customFormat="1" ht="21" customHeight="1">
      <c r="A364" s="240"/>
      <c r="B364" s="240"/>
      <c r="C364" s="240"/>
      <c r="D364" s="240"/>
      <c r="E364" s="240"/>
      <c r="F364" s="240"/>
      <c r="G364" s="240"/>
      <c r="H364" s="325"/>
      <c r="I364" s="307"/>
      <c r="J364" s="309"/>
      <c r="K364" s="309"/>
    </row>
    <row r="365" spans="1:11" s="300" customFormat="1" ht="21" customHeight="1">
      <c r="A365" s="240"/>
      <c r="B365" s="240"/>
      <c r="C365" s="240"/>
      <c r="D365" s="240"/>
      <c r="E365" s="240"/>
      <c r="F365" s="240"/>
      <c r="G365" s="240"/>
      <c r="H365" s="325"/>
      <c r="I365" s="307"/>
      <c r="J365" s="309"/>
      <c r="K365" s="309"/>
    </row>
    <row r="366" spans="1:11" s="300" customFormat="1" ht="21" customHeight="1">
      <c r="A366" s="240"/>
      <c r="B366" s="240"/>
      <c r="C366" s="240"/>
      <c r="D366" s="240"/>
      <c r="E366" s="240"/>
      <c r="F366" s="240"/>
      <c r="G366" s="240"/>
      <c r="H366" s="325"/>
      <c r="I366" s="307"/>
      <c r="J366" s="309"/>
      <c r="K366" s="309"/>
    </row>
    <row r="367" spans="1:11" s="300" customFormat="1" ht="21" customHeight="1">
      <c r="A367" s="240"/>
      <c r="B367" s="240"/>
      <c r="C367" s="240"/>
      <c r="D367" s="240"/>
      <c r="E367" s="240"/>
      <c r="F367" s="240"/>
      <c r="G367" s="240"/>
      <c r="H367" s="325"/>
      <c r="I367" s="307"/>
      <c r="J367" s="309"/>
      <c r="K367" s="309"/>
    </row>
    <row r="368" spans="1:11" s="300" customFormat="1" ht="21" customHeight="1">
      <c r="A368" s="240"/>
      <c r="B368" s="240"/>
      <c r="C368" s="240"/>
      <c r="D368" s="240"/>
      <c r="E368" s="240"/>
      <c r="F368" s="240"/>
      <c r="G368" s="240"/>
      <c r="H368" s="325"/>
      <c r="I368" s="307"/>
      <c r="J368" s="309"/>
      <c r="K368" s="309"/>
    </row>
    <row r="369" spans="1:11" s="300" customFormat="1" ht="21" customHeight="1">
      <c r="A369" s="240"/>
      <c r="B369" s="240"/>
      <c r="C369" s="240"/>
      <c r="D369" s="240"/>
      <c r="E369" s="240"/>
      <c r="F369" s="240"/>
      <c r="G369" s="240"/>
      <c r="H369" s="325"/>
      <c r="I369" s="307"/>
      <c r="J369" s="309"/>
      <c r="K369" s="309"/>
    </row>
    <row r="370" spans="1:11" s="300" customFormat="1" ht="21" customHeight="1">
      <c r="A370" s="240"/>
      <c r="B370" s="240"/>
      <c r="C370" s="240"/>
      <c r="D370" s="240"/>
      <c r="E370" s="240"/>
      <c r="F370" s="240"/>
      <c r="G370" s="240"/>
      <c r="H370" s="325"/>
      <c r="I370" s="307"/>
      <c r="J370" s="309"/>
      <c r="K370" s="309"/>
    </row>
    <row r="371" spans="1:11" s="300" customFormat="1" ht="21" customHeight="1">
      <c r="A371" s="240"/>
      <c r="B371" s="240"/>
      <c r="C371" s="240"/>
      <c r="D371" s="240"/>
      <c r="E371" s="240"/>
      <c r="F371" s="240"/>
      <c r="G371" s="240"/>
      <c r="H371" s="325"/>
      <c r="I371" s="307"/>
      <c r="J371" s="309"/>
      <c r="K371" s="309"/>
    </row>
    <row r="372" spans="1:11" s="300" customFormat="1" ht="21" customHeight="1">
      <c r="A372" s="240"/>
      <c r="B372" s="240"/>
      <c r="C372" s="240"/>
      <c r="D372" s="240"/>
      <c r="E372" s="240"/>
      <c r="F372" s="240"/>
      <c r="G372" s="240"/>
      <c r="H372" s="325"/>
      <c r="I372" s="307"/>
      <c r="J372" s="309"/>
      <c r="K372" s="309"/>
    </row>
    <row r="373" spans="1:11" s="300" customFormat="1" ht="21" customHeight="1">
      <c r="A373" s="240"/>
      <c r="B373" s="240"/>
      <c r="C373" s="240"/>
      <c r="D373" s="240"/>
      <c r="E373" s="240"/>
      <c r="F373" s="240"/>
      <c r="G373" s="240"/>
      <c r="H373" s="325"/>
      <c r="I373" s="307"/>
      <c r="J373" s="309"/>
      <c r="K373" s="309"/>
    </row>
    <row r="374" spans="1:11" s="300" customFormat="1" ht="21" customHeight="1">
      <c r="A374" s="240"/>
      <c r="B374" s="240"/>
      <c r="C374" s="240"/>
      <c r="D374" s="240"/>
      <c r="E374" s="240"/>
      <c r="F374" s="240"/>
      <c r="G374" s="240"/>
      <c r="H374" s="325"/>
      <c r="I374" s="307"/>
      <c r="J374" s="309"/>
      <c r="K374" s="309"/>
    </row>
    <row r="375" spans="1:11" s="300" customFormat="1" ht="21" customHeight="1">
      <c r="A375" s="240"/>
      <c r="B375" s="240"/>
      <c r="C375" s="240"/>
      <c r="D375" s="240"/>
      <c r="E375" s="240"/>
      <c r="F375" s="240"/>
      <c r="G375" s="240"/>
      <c r="H375" s="325"/>
      <c r="I375" s="307"/>
      <c r="J375" s="309"/>
      <c r="K375" s="309"/>
    </row>
    <row r="376" spans="1:11" s="300" customFormat="1" ht="21" customHeight="1">
      <c r="A376" s="240"/>
      <c r="B376" s="240"/>
      <c r="C376" s="240"/>
      <c r="D376" s="240"/>
      <c r="E376" s="240"/>
      <c r="F376" s="240"/>
      <c r="G376" s="240"/>
      <c r="H376" s="325"/>
      <c r="I376" s="307"/>
      <c r="J376" s="309"/>
      <c r="K376" s="309"/>
    </row>
    <row r="377" spans="1:11" s="300" customFormat="1" ht="21" customHeight="1">
      <c r="A377" s="240"/>
      <c r="B377" s="240"/>
      <c r="C377" s="240"/>
      <c r="D377" s="240"/>
      <c r="E377" s="240"/>
      <c r="F377" s="240"/>
      <c r="G377" s="240"/>
      <c r="H377" s="325"/>
      <c r="I377" s="307"/>
      <c r="J377" s="309"/>
      <c r="K377" s="309"/>
    </row>
    <row r="378" spans="1:11" s="300" customFormat="1" ht="21" customHeight="1">
      <c r="A378" s="240"/>
      <c r="B378" s="240"/>
      <c r="C378" s="240"/>
      <c r="D378" s="240"/>
      <c r="E378" s="240"/>
      <c r="F378" s="240"/>
      <c r="G378" s="240"/>
      <c r="H378" s="325"/>
      <c r="I378" s="307"/>
      <c r="J378" s="309"/>
      <c r="K378" s="309"/>
    </row>
    <row r="379" spans="1:11" s="300" customFormat="1" ht="21" customHeight="1">
      <c r="A379" s="240"/>
      <c r="B379" s="240"/>
      <c r="C379" s="240"/>
      <c r="D379" s="240"/>
      <c r="E379" s="240"/>
      <c r="F379" s="240"/>
      <c r="G379" s="240"/>
      <c r="H379" s="325"/>
      <c r="I379" s="307"/>
      <c r="J379" s="309"/>
      <c r="K379" s="309"/>
    </row>
    <row r="380" spans="1:11" s="300" customFormat="1" ht="21" customHeight="1">
      <c r="A380" s="240"/>
      <c r="B380" s="240"/>
      <c r="C380" s="240"/>
      <c r="D380" s="240"/>
      <c r="E380" s="240"/>
      <c r="F380" s="240"/>
      <c r="G380" s="240"/>
      <c r="H380" s="325"/>
      <c r="I380" s="307"/>
      <c r="J380" s="309"/>
      <c r="K380" s="309"/>
    </row>
    <row r="381" spans="1:11" s="300" customFormat="1" ht="21" customHeight="1">
      <c r="A381" s="240"/>
      <c r="B381" s="240"/>
      <c r="C381" s="240"/>
      <c r="D381" s="240"/>
      <c r="E381" s="240"/>
      <c r="F381" s="240"/>
      <c r="G381" s="240"/>
      <c r="H381" s="325"/>
      <c r="I381" s="307"/>
      <c r="J381" s="309"/>
      <c r="K381" s="309"/>
    </row>
    <row r="382" spans="1:11" s="327" customFormat="1" ht="27" customHeight="1">
      <c r="A382" s="240"/>
      <c r="B382" s="240"/>
      <c r="C382" s="240"/>
      <c r="D382" s="240"/>
      <c r="E382" s="240"/>
      <c r="F382" s="240"/>
      <c r="G382" s="240"/>
      <c r="H382" s="325"/>
      <c r="I382" s="307"/>
      <c r="J382" s="326"/>
      <c r="K382" s="326"/>
    </row>
    <row r="383" spans="1:13" s="300" customFormat="1" ht="28.5" customHeight="1">
      <c r="A383" s="240"/>
      <c r="B383" s="240"/>
      <c r="C383" s="240"/>
      <c r="D383" s="240"/>
      <c r="E383" s="240"/>
      <c r="F383" s="240"/>
      <c r="G383" s="240"/>
      <c r="H383" s="325"/>
      <c r="I383" s="328"/>
      <c r="J383" s="328"/>
      <c r="K383" s="307"/>
      <c r="L383" s="309"/>
      <c r="M383" s="309"/>
    </row>
    <row r="384" spans="1:13" s="300" customFormat="1" ht="22.5" customHeight="1">
      <c r="A384" s="240"/>
      <c r="B384" s="240"/>
      <c r="C384" s="240"/>
      <c r="D384" s="240"/>
      <c r="E384" s="240"/>
      <c r="F384" s="240"/>
      <c r="G384" s="240"/>
      <c r="H384" s="325"/>
      <c r="I384" s="322"/>
      <c r="K384" s="307"/>
      <c r="L384" s="309"/>
      <c r="M384" s="309"/>
    </row>
    <row r="385" spans="8:13" ht="15.75">
      <c r="H385" s="325"/>
      <c r="I385" s="324"/>
      <c r="J385" s="324"/>
      <c r="K385" s="329"/>
      <c r="L385" s="325"/>
      <c r="M385" s="325"/>
    </row>
    <row r="386" spans="8:13" ht="15.75">
      <c r="H386" s="325"/>
      <c r="I386" s="325"/>
      <c r="J386" s="325"/>
      <c r="K386" s="329"/>
      <c r="L386" s="325"/>
      <c r="M386" s="325"/>
    </row>
    <row r="387" spans="8:13" ht="15.75">
      <c r="H387" s="325"/>
      <c r="I387" s="325"/>
      <c r="J387" s="325"/>
      <c r="K387" s="329"/>
      <c r="L387" s="325"/>
      <c r="M387" s="325"/>
    </row>
    <row r="388" spans="8:13" ht="15.75">
      <c r="H388" s="325"/>
      <c r="I388" s="325"/>
      <c r="J388" s="325"/>
      <c r="K388" s="329"/>
      <c r="L388" s="325"/>
      <c r="M388" s="325"/>
    </row>
    <row r="389" spans="8:13" ht="15.75">
      <c r="H389" s="325"/>
      <c r="I389" s="325"/>
      <c r="J389" s="325"/>
      <c r="K389" s="329"/>
      <c r="L389" s="325"/>
      <c r="M389" s="325"/>
    </row>
    <row r="390" spans="8:13" ht="15.75">
      <c r="H390" s="325"/>
      <c r="I390" s="325"/>
      <c r="J390" s="325"/>
      <c r="K390" s="329"/>
      <c r="L390" s="325"/>
      <c r="M390" s="325"/>
    </row>
    <row r="391" spans="8:13" ht="15.75">
      <c r="H391" s="325"/>
      <c r="I391" s="325"/>
      <c r="J391" s="325"/>
      <c r="K391" s="329"/>
      <c r="L391" s="325"/>
      <c r="M391" s="325"/>
    </row>
    <row r="392" spans="8:13" ht="15.75">
      <c r="H392" s="325"/>
      <c r="I392" s="325"/>
      <c r="J392" s="325"/>
      <c r="K392" s="329"/>
      <c r="L392" s="325"/>
      <c r="M392" s="325"/>
    </row>
    <row r="393" spans="8:13" ht="15.75">
      <c r="H393" s="325"/>
      <c r="I393" s="325"/>
      <c r="J393" s="325"/>
      <c r="K393" s="329"/>
      <c r="L393" s="325"/>
      <c r="M393" s="325"/>
    </row>
    <row r="394" spans="8:13" ht="15.75">
      <c r="H394" s="325"/>
      <c r="I394" s="325"/>
      <c r="J394" s="325"/>
      <c r="K394" s="329"/>
      <c r="L394" s="325"/>
      <c r="M394" s="325"/>
    </row>
    <row r="395" spans="8:13" ht="15.75">
      <c r="H395" s="325"/>
      <c r="I395" s="325"/>
      <c r="J395" s="325"/>
      <c r="K395" s="329"/>
      <c r="L395" s="325"/>
      <c r="M395" s="325"/>
    </row>
    <row r="396" spans="8:13" ht="15.75">
      <c r="H396" s="325"/>
      <c r="I396" s="325"/>
      <c r="J396" s="325"/>
      <c r="K396" s="329"/>
      <c r="L396" s="325"/>
      <c r="M396" s="325"/>
    </row>
    <row r="397" spans="8:13" ht="15.75">
      <c r="H397" s="325"/>
      <c r="I397" s="325"/>
      <c r="J397" s="325"/>
      <c r="K397" s="329"/>
      <c r="L397" s="325"/>
      <c r="M397" s="325"/>
    </row>
    <row r="398" spans="8:13" ht="15.75">
      <c r="H398" s="325"/>
      <c r="I398" s="325"/>
      <c r="J398" s="325"/>
      <c r="K398" s="329"/>
      <c r="L398" s="325"/>
      <c r="M398" s="325"/>
    </row>
    <row r="399" spans="8:13" ht="15.75">
      <c r="H399" s="325"/>
      <c r="I399" s="325"/>
      <c r="J399" s="325"/>
      <c r="K399" s="329"/>
      <c r="L399" s="325"/>
      <c r="M399" s="325"/>
    </row>
    <row r="400" spans="8:13" ht="15.75">
      <c r="H400" s="325"/>
      <c r="I400" s="325"/>
      <c r="J400" s="325"/>
      <c r="K400" s="329"/>
      <c r="L400" s="325"/>
      <c r="M400" s="325"/>
    </row>
    <row r="401" spans="8:13" ht="15.75">
      <c r="H401" s="325"/>
      <c r="I401" s="325"/>
      <c r="J401" s="325"/>
      <c r="K401" s="329"/>
      <c r="L401" s="325"/>
      <c r="M401" s="325"/>
    </row>
    <row r="402" spans="8:13" ht="15.75">
      <c r="H402" s="325"/>
      <c r="I402" s="325"/>
      <c r="J402" s="325"/>
      <c r="K402" s="329"/>
      <c r="L402" s="325"/>
      <c r="M402" s="325"/>
    </row>
    <row r="403" spans="8:13" ht="15.75">
      <c r="H403" s="325"/>
      <c r="I403" s="325"/>
      <c r="J403" s="325"/>
      <c r="K403" s="329"/>
      <c r="L403" s="325"/>
      <c r="M403" s="325"/>
    </row>
    <row r="404" spans="8:13" ht="15.75">
      <c r="H404" s="325"/>
      <c r="I404" s="325"/>
      <c r="J404" s="325"/>
      <c r="K404" s="329"/>
      <c r="L404" s="325"/>
      <c r="M404" s="325"/>
    </row>
    <row r="405" spans="8:13" ht="15.75">
      <c r="H405" s="325"/>
      <c r="I405" s="325"/>
      <c r="J405" s="325"/>
      <c r="K405" s="329"/>
      <c r="L405" s="325"/>
      <c r="M405" s="325"/>
    </row>
    <row r="406" spans="8:13" ht="15.75">
      <c r="H406" s="325"/>
      <c r="I406" s="325"/>
      <c r="J406" s="325"/>
      <c r="K406" s="329"/>
      <c r="L406" s="325"/>
      <c r="M406" s="325"/>
    </row>
    <row r="407" spans="8:13" ht="15.75">
      <c r="H407" s="325"/>
      <c r="I407" s="325"/>
      <c r="J407" s="325"/>
      <c r="K407" s="329"/>
      <c r="L407" s="325"/>
      <c r="M407" s="325"/>
    </row>
    <row r="408" spans="8:13" ht="15.75">
      <c r="H408" s="325"/>
      <c r="I408" s="325"/>
      <c r="J408" s="325"/>
      <c r="K408" s="329"/>
      <c r="L408" s="325"/>
      <c r="M408" s="325"/>
    </row>
    <row r="409" spans="8:13" ht="15.75">
      <c r="H409" s="325"/>
      <c r="I409" s="325"/>
      <c r="J409" s="325"/>
      <c r="K409" s="329"/>
      <c r="L409" s="325"/>
      <c r="M409" s="325"/>
    </row>
    <row r="410" spans="8:13" ht="15.75">
      <c r="H410" s="325"/>
      <c r="I410" s="325"/>
      <c r="J410" s="325"/>
      <c r="K410" s="329"/>
      <c r="L410" s="325"/>
      <c r="M410" s="325"/>
    </row>
    <row r="411" spans="8:13" ht="15.75">
      <c r="H411" s="325"/>
      <c r="I411" s="325"/>
      <c r="J411" s="325"/>
      <c r="K411" s="329"/>
      <c r="L411" s="325"/>
      <c r="M411" s="325"/>
    </row>
    <row r="412" spans="8:13" ht="15.75">
      <c r="H412" s="325"/>
      <c r="I412" s="325"/>
      <c r="J412" s="325"/>
      <c r="K412" s="329"/>
      <c r="L412" s="325"/>
      <c r="M412" s="325"/>
    </row>
    <row r="413" spans="8:13" ht="15.75">
      <c r="H413" s="325"/>
      <c r="I413" s="325"/>
      <c r="J413" s="325"/>
      <c r="K413" s="329"/>
      <c r="L413" s="325"/>
      <c r="M413" s="325"/>
    </row>
    <row r="414" spans="8:13" ht="15.75">
      <c r="H414" s="325"/>
      <c r="I414" s="325"/>
      <c r="J414" s="325"/>
      <c r="K414" s="329"/>
      <c r="L414" s="325"/>
      <c r="M414" s="325"/>
    </row>
    <row r="415" spans="8:13" ht="15.75">
      <c r="H415" s="325"/>
      <c r="I415" s="325"/>
      <c r="J415" s="325"/>
      <c r="K415" s="329"/>
      <c r="L415" s="325"/>
      <c r="M415" s="325"/>
    </row>
    <row r="416" spans="8:13" ht="15.75">
      <c r="H416" s="325"/>
      <c r="I416" s="325"/>
      <c r="J416" s="325"/>
      <c r="K416" s="329"/>
      <c r="L416" s="325"/>
      <c r="M416" s="325"/>
    </row>
    <row r="417" spans="8:13" ht="15.75">
      <c r="H417" s="325"/>
      <c r="I417" s="325"/>
      <c r="J417" s="325"/>
      <c r="K417" s="329"/>
      <c r="L417" s="325"/>
      <c r="M417" s="325"/>
    </row>
    <row r="418" spans="8:13" ht="15.75">
      <c r="H418" s="325"/>
      <c r="I418" s="325"/>
      <c r="J418" s="325"/>
      <c r="K418" s="329"/>
      <c r="L418" s="325"/>
      <c r="M418" s="325"/>
    </row>
    <row r="419" spans="8:13" ht="15.75">
      <c r="H419" s="325"/>
      <c r="I419" s="325"/>
      <c r="J419" s="325"/>
      <c r="K419" s="329"/>
      <c r="L419" s="325"/>
      <c r="M419" s="325"/>
    </row>
    <row r="420" spans="8:13" ht="15.75">
      <c r="H420" s="325"/>
      <c r="I420" s="325"/>
      <c r="J420" s="325"/>
      <c r="K420" s="329"/>
      <c r="L420" s="325"/>
      <c r="M420" s="325"/>
    </row>
    <row r="421" spans="8:13" ht="15.75">
      <c r="H421" s="325"/>
      <c r="I421" s="325"/>
      <c r="J421" s="325"/>
      <c r="K421" s="329"/>
      <c r="L421" s="325"/>
      <c r="M421" s="325"/>
    </row>
    <row r="422" spans="8:13" ht="15.75">
      <c r="H422" s="325"/>
      <c r="I422" s="325"/>
      <c r="J422" s="325"/>
      <c r="K422" s="329"/>
      <c r="L422" s="325"/>
      <c r="M422" s="325"/>
    </row>
    <row r="423" spans="8:13" ht="15.75">
      <c r="H423" s="325"/>
      <c r="I423" s="325"/>
      <c r="J423" s="325"/>
      <c r="K423" s="329"/>
      <c r="L423" s="325"/>
      <c r="M423" s="325"/>
    </row>
    <row r="424" spans="8:13" ht="15.75">
      <c r="H424" s="325"/>
      <c r="I424" s="325"/>
      <c r="J424" s="325"/>
      <c r="K424" s="329"/>
      <c r="L424" s="325"/>
      <c r="M424" s="325"/>
    </row>
    <row r="425" spans="8:13" ht="15.75">
      <c r="H425" s="325"/>
      <c r="I425" s="325"/>
      <c r="J425" s="325"/>
      <c r="K425" s="329"/>
      <c r="L425" s="325"/>
      <c r="M425" s="325"/>
    </row>
    <row r="426" spans="8:13" ht="15.75">
      <c r="H426" s="325"/>
      <c r="I426" s="325"/>
      <c r="J426" s="325"/>
      <c r="K426" s="329"/>
      <c r="L426" s="325"/>
      <c r="M426" s="325"/>
    </row>
    <row r="427" spans="8:13" ht="15.75">
      <c r="H427" s="325"/>
      <c r="I427" s="325"/>
      <c r="J427" s="325"/>
      <c r="K427" s="329"/>
      <c r="L427" s="325"/>
      <c r="M427" s="325"/>
    </row>
    <row r="428" spans="8:13" ht="15.75">
      <c r="H428" s="325"/>
      <c r="I428" s="325"/>
      <c r="J428" s="325"/>
      <c r="K428" s="329"/>
      <c r="L428" s="325"/>
      <c r="M428" s="325"/>
    </row>
    <row r="429" spans="8:13" ht="15.75">
      <c r="H429" s="325"/>
      <c r="I429" s="325"/>
      <c r="J429" s="325"/>
      <c r="K429" s="329"/>
      <c r="L429" s="325"/>
      <c r="M429" s="325"/>
    </row>
    <row r="430" spans="8:13" ht="15.75">
      <c r="H430" s="325"/>
      <c r="I430" s="325"/>
      <c r="J430" s="325"/>
      <c r="K430" s="329"/>
      <c r="L430" s="325"/>
      <c r="M430" s="325"/>
    </row>
    <row r="431" spans="8:13" ht="15.75">
      <c r="H431" s="325"/>
      <c r="I431" s="325"/>
      <c r="J431" s="325"/>
      <c r="K431" s="329"/>
      <c r="L431" s="325"/>
      <c r="M431" s="325"/>
    </row>
    <row r="432" spans="8:13" ht="15.75">
      <c r="H432" s="325"/>
      <c r="I432" s="325"/>
      <c r="J432" s="325"/>
      <c r="K432" s="329"/>
      <c r="L432" s="325"/>
      <c r="M432" s="325"/>
    </row>
    <row r="433" spans="8:13" ht="15.75">
      <c r="H433" s="325"/>
      <c r="I433" s="325"/>
      <c r="J433" s="325"/>
      <c r="K433" s="329"/>
      <c r="L433" s="325"/>
      <c r="M433" s="325"/>
    </row>
    <row r="434" spans="8:13" ht="15.75">
      <c r="H434" s="325"/>
      <c r="I434" s="325"/>
      <c r="J434" s="325"/>
      <c r="K434" s="329"/>
      <c r="L434" s="325"/>
      <c r="M434" s="325"/>
    </row>
    <row r="435" spans="8:13" ht="15.75">
      <c r="H435" s="325"/>
      <c r="I435" s="325"/>
      <c r="J435" s="325"/>
      <c r="K435" s="329"/>
      <c r="L435" s="325"/>
      <c r="M435" s="325"/>
    </row>
    <row r="436" spans="8:13" ht="15.75">
      <c r="H436" s="325"/>
      <c r="I436" s="325"/>
      <c r="J436" s="325"/>
      <c r="K436" s="329"/>
      <c r="L436" s="325"/>
      <c r="M436" s="325"/>
    </row>
    <row r="437" spans="8:13" ht="15.75">
      <c r="H437" s="325"/>
      <c r="I437" s="325"/>
      <c r="J437" s="325"/>
      <c r="K437" s="329"/>
      <c r="L437" s="325"/>
      <c r="M437" s="325"/>
    </row>
    <row r="438" spans="8:13" ht="15.75">
      <c r="H438" s="325"/>
      <c r="I438" s="325"/>
      <c r="J438" s="325"/>
      <c r="K438" s="329"/>
      <c r="L438" s="325"/>
      <c r="M438" s="325"/>
    </row>
    <row r="439" spans="8:13" ht="15.75">
      <c r="H439" s="325"/>
      <c r="I439" s="325"/>
      <c r="J439" s="325"/>
      <c r="K439" s="329"/>
      <c r="L439" s="325"/>
      <c r="M439" s="325"/>
    </row>
    <row r="440" spans="8:13" ht="15.75">
      <c r="H440" s="325"/>
      <c r="I440" s="325"/>
      <c r="J440" s="325"/>
      <c r="K440" s="329"/>
      <c r="L440" s="325"/>
      <c r="M440" s="325"/>
    </row>
    <row r="441" spans="8:13" ht="15.75">
      <c r="H441" s="325"/>
      <c r="I441" s="325"/>
      <c r="J441" s="325"/>
      <c r="K441" s="329"/>
      <c r="L441" s="325"/>
      <c r="M441" s="325"/>
    </row>
    <row r="442" spans="8:13" ht="15.75">
      <c r="H442" s="325"/>
      <c r="I442" s="325"/>
      <c r="J442" s="325"/>
      <c r="K442" s="329"/>
      <c r="L442" s="325"/>
      <c r="M442" s="325"/>
    </row>
    <row r="443" spans="8:13" ht="15.75">
      <c r="H443" s="325"/>
      <c r="I443" s="325"/>
      <c r="J443" s="325"/>
      <c r="K443" s="329"/>
      <c r="L443" s="325"/>
      <c r="M443" s="325"/>
    </row>
    <row r="444" spans="8:13" ht="15.75">
      <c r="H444" s="325"/>
      <c r="I444" s="325"/>
      <c r="J444" s="325"/>
      <c r="K444" s="329"/>
      <c r="L444" s="325"/>
      <c r="M444" s="325"/>
    </row>
    <row r="445" spans="8:13" ht="15.75">
      <c r="H445" s="325"/>
      <c r="I445" s="325"/>
      <c r="J445" s="325"/>
      <c r="K445" s="329"/>
      <c r="L445" s="325"/>
      <c r="M445" s="325"/>
    </row>
    <row r="446" spans="8:13" ht="15.75">
      <c r="H446" s="325"/>
      <c r="I446" s="325"/>
      <c r="J446" s="325"/>
      <c r="K446" s="329"/>
      <c r="L446" s="325"/>
      <c r="M446" s="325"/>
    </row>
    <row r="447" spans="8:13" ht="15.75">
      <c r="H447" s="325"/>
      <c r="I447" s="325"/>
      <c r="J447" s="325"/>
      <c r="K447" s="329"/>
      <c r="L447" s="325"/>
      <c r="M447" s="325"/>
    </row>
    <row r="448" spans="8:13" ht="15.75">
      <c r="H448" s="325"/>
      <c r="I448" s="325"/>
      <c r="J448" s="325"/>
      <c r="K448" s="329"/>
      <c r="L448" s="325"/>
      <c r="M448" s="325"/>
    </row>
    <row r="449" spans="8:13" ht="15.75">
      <c r="H449" s="325"/>
      <c r="I449" s="325"/>
      <c r="J449" s="325"/>
      <c r="K449" s="329"/>
      <c r="L449" s="325"/>
      <c r="M449" s="325"/>
    </row>
    <row r="450" spans="8:13" ht="15.75">
      <c r="H450" s="325"/>
      <c r="I450" s="325"/>
      <c r="J450" s="325"/>
      <c r="K450" s="329"/>
      <c r="L450" s="325"/>
      <c r="M450" s="325"/>
    </row>
    <row r="451" spans="8:13" ht="15.75">
      <c r="H451" s="325"/>
      <c r="I451" s="325"/>
      <c r="J451" s="325"/>
      <c r="K451" s="329"/>
      <c r="L451" s="325"/>
      <c r="M451" s="325"/>
    </row>
    <row r="452" spans="8:13" ht="15.75">
      <c r="H452" s="325"/>
      <c r="I452" s="325"/>
      <c r="J452" s="325"/>
      <c r="K452" s="329"/>
      <c r="L452" s="325"/>
      <c r="M452" s="325"/>
    </row>
    <row r="453" spans="8:13" ht="15.75">
      <c r="H453" s="325"/>
      <c r="I453" s="325"/>
      <c r="J453" s="325"/>
      <c r="K453" s="329"/>
      <c r="L453" s="325"/>
      <c r="M453" s="325"/>
    </row>
    <row r="454" spans="8:13" ht="15.75">
      <c r="H454" s="325"/>
      <c r="I454" s="325"/>
      <c r="J454" s="325"/>
      <c r="K454" s="329"/>
      <c r="L454" s="325"/>
      <c r="M454" s="325"/>
    </row>
    <row r="455" spans="8:13" ht="15.75">
      <c r="H455" s="325"/>
      <c r="I455" s="325"/>
      <c r="J455" s="325"/>
      <c r="K455" s="329"/>
      <c r="L455" s="325"/>
      <c r="M455" s="325"/>
    </row>
    <row r="456" spans="8:13" ht="15.75">
      <c r="H456" s="325"/>
      <c r="I456" s="325"/>
      <c r="J456" s="325"/>
      <c r="K456" s="329"/>
      <c r="L456" s="325"/>
      <c r="M456" s="325"/>
    </row>
    <row r="457" spans="8:13" ht="15.75">
      <c r="H457" s="325"/>
      <c r="I457" s="325"/>
      <c r="J457" s="325"/>
      <c r="K457" s="329"/>
      <c r="L457" s="325"/>
      <c r="M457" s="325"/>
    </row>
    <row r="458" spans="8:13" ht="15.75">
      <c r="H458" s="325"/>
      <c r="I458" s="325"/>
      <c r="J458" s="325"/>
      <c r="K458" s="329"/>
      <c r="L458" s="325"/>
      <c r="M458" s="325"/>
    </row>
    <row r="459" spans="8:13" ht="15.75">
      <c r="H459" s="325"/>
      <c r="I459" s="325"/>
      <c r="J459" s="325"/>
      <c r="K459" s="329"/>
      <c r="L459" s="325"/>
      <c r="M459" s="325"/>
    </row>
    <row r="460" spans="8:13" ht="15.75">
      <c r="H460" s="325"/>
      <c r="I460" s="325"/>
      <c r="J460" s="325"/>
      <c r="K460" s="329"/>
      <c r="L460" s="325"/>
      <c r="M460" s="325"/>
    </row>
    <row r="461" spans="8:13" ht="15.75">
      <c r="H461" s="325"/>
      <c r="I461" s="325"/>
      <c r="J461" s="325"/>
      <c r="K461" s="329"/>
      <c r="L461" s="325"/>
      <c r="M461" s="325"/>
    </row>
    <row r="462" spans="8:13" ht="15.75">
      <c r="H462" s="325"/>
      <c r="I462" s="325"/>
      <c r="J462" s="325"/>
      <c r="K462" s="329"/>
      <c r="L462" s="325"/>
      <c r="M462" s="325"/>
    </row>
    <row r="463" spans="8:13" ht="15.75">
      <c r="H463" s="325"/>
      <c r="I463" s="325"/>
      <c r="J463" s="325"/>
      <c r="K463" s="329"/>
      <c r="L463" s="325"/>
      <c r="M463" s="325"/>
    </row>
    <row r="464" spans="8:13" ht="15.75">
      <c r="H464" s="325"/>
      <c r="I464" s="325"/>
      <c r="J464" s="325"/>
      <c r="K464" s="329"/>
      <c r="L464" s="325"/>
      <c r="M464" s="325"/>
    </row>
    <row r="465" spans="8:13" ht="15.75">
      <c r="H465" s="325"/>
      <c r="I465" s="325"/>
      <c r="J465" s="325"/>
      <c r="K465" s="329"/>
      <c r="L465" s="325"/>
      <c r="M465" s="325"/>
    </row>
    <row r="466" spans="8:13" ht="15.75">
      <c r="H466" s="325"/>
      <c r="I466" s="325"/>
      <c r="J466" s="325"/>
      <c r="K466" s="329"/>
      <c r="L466" s="325"/>
      <c r="M466" s="325"/>
    </row>
    <row r="467" spans="8:13" ht="15.75">
      <c r="H467" s="325"/>
      <c r="I467" s="325"/>
      <c r="J467" s="325"/>
      <c r="K467" s="329"/>
      <c r="L467" s="325"/>
      <c r="M467" s="325"/>
    </row>
    <row r="468" spans="8:13" ht="15.75">
      <c r="H468" s="325"/>
      <c r="I468" s="325"/>
      <c r="J468" s="325"/>
      <c r="K468" s="329"/>
      <c r="L468" s="325"/>
      <c r="M468" s="325"/>
    </row>
    <row r="469" spans="8:13" ht="15.75">
      <c r="H469" s="325"/>
      <c r="I469" s="325"/>
      <c r="J469" s="325"/>
      <c r="K469" s="329"/>
      <c r="L469" s="325"/>
      <c r="M469" s="325"/>
    </row>
    <row r="470" spans="8:13" ht="15.75">
      <c r="H470" s="325"/>
      <c r="I470" s="325"/>
      <c r="J470" s="325"/>
      <c r="K470" s="329"/>
      <c r="L470" s="325"/>
      <c r="M470" s="325"/>
    </row>
    <row r="471" spans="8:13" ht="15.75">
      <c r="H471" s="325"/>
      <c r="I471" s="325"/>
      <c r="J471" s="325"/>
      <c r="K471" s="329"/>
      <c r="L471" s="325"/>
      <c r="M471" s="325"/>
    </row>
    <row r="472" spans="8:13" ht="15.75">
      <c r="H472" s="325"/>
      <c r="I472" s="325"/>
      <c r="J472" s="325"/>
      <c r="K472" s="329"/>
      <c r="L472" s="325"/>
      <c r="M472" s="325"/>
    </row>
    <row r="473" spans="8:13" ht="15.75">
      <c r="H473" s="325"/>
      <c r="I473" s="325"/>
      <c r="J473" s="325"/>
      <c r="K473" s="329"/>
      <c r="L473" s="325"/>
      <c r="M473" s="325"/>
    </row>
    <row r="474" spans="8:13" ht="15.75">
      <c r="H474" s="325"/>
      <c r="I474" s="325"/>
      <c r="J474" s="325"/>
      <c r="K474" s="329"/>
      <c r="L474" s="325"/>
      <c r="M474" s="325"/>
    </row>
    <row r="475" spans="8:13" ht="15.75">
      <c r="H475" s="325"/>
      <c r="I475" s="325"/>
      <c r="J475" s="325"/>
      <c r="K475" s="329"/>
      <c r="L475" s="325"/>
      <c r="M475" s="325"/>
    </row>
    <row r="476" spans="8:13" ht="15.75">
      <c r="H476" s="325"/>
      <c r="I476" s="325"/>
      <c r="J476" s="325"/>
      <c r="K476" s="329"/>
      <c r="L476" s="325"/>
      <c r="M476" s="325"/>
    </row>
    <row r="477" spans="8:13" ht="15.75">
      <c r="H477" s="325"/>
      <c r="I477" s="325"/>
      <c r="J477" s="325"/>
      <c r="K477" s="329"/>
      <c r="L477" s="325"/>
      <c r="M477" s="325"/>
    </row>
    <row r="478" spans="8:13" ht="15.75">
      <c r="H478" s="325"/>
      <c r="I478" s="325"/>
      <c r="J478" s="325"/>
      <c r="K478" s="329"/>
      <c r="L478" s="325"/>
      <c r="M478" s="325"/>
    </row>
    <row r="479" spans="8:13" ht="15.75">
      <c r="H479" s="325"/>
      <c r="I479" s="325"/>
      <c r="J479" s="325"/>
      <c r="K479" s="329"/>
      <c r="L479" s="325"/>
      <c r="M479" s="325"/>
    </row>
    <row r="480" spans="8:13" ht="15.75">
      <c r="H480" s="325"/>
      <c r="I480" s="325"/>
      <c r="J480" s="325"/>
      <c r="K480" s="329"/>
      <c r="L480" s="325"/>
      <c r="M480" s="325"/>
    </row>
    <row r="481" spans="8:13" ht="15.75">
      <c r="H481" s="325"/>
      <c r="I481" s="325"/>
      <c r="J481" s="325"/>
      <c r="K481" s="329"/>
      <c r="L481" s="325"/>
      <c r="M481" s="325"/>
    </row>
    <row r="482" spans="8:13" ht="15.75">
      <c r="H482" s="325"/>
      <c r="I482" s="325"/>
      <c r="J482" s="325"/>
      <c r="K482" s="329"/>
      <c r="L482" s="325"/>
      <c r="M482" s="325"/>
    </row>
    <row r="483" spans="8:13" ht="15.75">
      <c r="H483" s="325"/>
      <c r="I483" s="325"/>
      <c r="J483" s="325"/>
      <c r="K483" s="329"/>
      <c r="L483" s="325"/>
      <c r="M483" s="325"/>
    </row>
    <row r="484" spans="8:13" ht="15.75">
      <c r="H484" s="325"/>
      <c r="I484" s="325"/>
      <c r="J484" s="325"/>
      <c r="K484" s="329"/>
      <c r="L484" s="325"/>
      <c r="M484" s="325"/>
    </row>
    <row r="485" spans="8:13" ht="15.75">
      <c r="H485" s="325"/>
      <c r="I485" s="325"/>
      <c r="J485" s="325"/>
      <c r="K485" s="329"/>
      <c r="L485" s="325"/>
      <c r="M485" s="325"/>
    </row>
    <row r="486" spans="8:13" ht="15.75">
      <c r="H486" s="325"/>
      <c r="I486" s="325"/>
      <c r="J486" s="325"/>
      <c r="K486" s="329"/>
      <c r="L486" s="325"/>
      <c r="M486" s="325"/>
    </row>
    <row r="487" spans="8:13" ht="15.75">
      <c r="H487" s="325"/>
      <c r="I487" s="325"/>
      <c r="J487" s="325"/>
      <c r="K487" s="329"/>
      <c r="L487" s="325"/>
      <c r="M487" s="325"/>
    </row>
    <row r="488" spans="8:13" ht="15.75">
      <c r="H488" s="325"/>
      <c r="I488" s="325"/>
      <c r="J488" s="325"/>
      <c r="K488" s="329"/>
      <c r="L488" s="325"/>
      <c r="M488" s="325"/>
    </row>
    <row r="489" spans="8:13" ht="15.75">
      <c r="H489" s="325"/>
      <c r="I489" s="325"/>
      <c r="J489" s="325"/>
      <c r="K489" s="329"/>
      <c r="L489" s="325"/>
      <c r="M489" s="325"/>
    </row>
    <row r="490" spans="8:13" ht="15.75">
      <c r="H490" s="325"/>
      <c r="I490" s="325"/>
      <c r="J490" s="325"/>
      <c r="K490" s="329"/>
      <c r="L490" s="325"/>
      <c r="M490" s="325"/>
    </row>
    <row r="491" spans="8:13" ht="15.75">
      <c r="H491" s="325"/>
      <c r="I491" s="325"/>
      <c r="J491" s="325"/>
      <c r="K491" s="329"/>
      <c r="L491" s="325"/>
      <c r="M491" s="325"/>
    </row>
    <row r="492" spans="8:13" ht="15.75">
      <c r="H492" s="325"/>
      <c r="I492" s="325"/>
      <c r="J492" s="325"/>
      <c r="K492" s="329"/>
      <c r="L492" s="325"/>
      <c r="M492" s="325"/>
    </row>
    <row r="493" spans="8:13" ht="15.75">
      <c r="H493" s="325"/>
      <c r="I493" s="325"/>
      <c r="J493" s="325"/>
      <c r="K493" s="329"/>
      <c r="L493" s="325"/>
      <c r="M493" s="325"/>
    </row>
    <row r="494" spans="8:13" ht="15.75">
      <c r="H494" s="325"/>
      <c r="I494" s="325"/>
      <c r="J494" s="325"/>
      <c r="K494" s="329"/>
      <c r="L494" s="325"/>
      <c r="M494" s="325"/>
    </row>
    <row r="495" spans="8:13" ht="15.75">
      <c r="H495" s="325"/>
      <c r="I495" s="325"/>
      <c r="J495" s="325"/>
      <c r="K495" s="329"/>
      <c r="L495" s="325"/>
      <c r="M495" s="325"/>
    </row>
    <row r="496" spans="8:13" ht="15.75">
      <c r="H496" s="325"/>
      <c r="I496" s="325"/>
      <c r="J496" s="325"/>
      <c r="K496" s="329"/>
      <c r="L496" s="325"/>
      <c r="M496" s="325"/>
    </row>
    <row r="497" spans="8:13" ht="15.75">
      <c r="H497" s="325"/>
      <c r="I497" s="325"/>
      <c r="J497" s="325"/>
      <c r="K497" s="329"/>
      <c r="L497" s="325"/>
      <c r="M497" s="325"/>
    </row>
    <row r="498" spans="8:13" ht="15.75">
      <c r="H498" s="325"/>
      <c r="I498" s="325"/>
      <c r="J498" s="325"/>
      <c r="K498" s="329"/>
      <c r="L498" s="325"/>
      <c r="M498" s="325"/>
    </row>
    <row r="499" spans="8:13" ht="15.75">
      <c r="H499" s="325"/>
      <c r="I499" s="325"/>
      <c r="J499" s="325"/>
      <c r="K499" s="329"/>
      <c r="L499" s="325"/>
      <c r="M499" s="325"/>
    </row>
    <row r="500" spans="8:13" ht="15.75">
      <c r="H500" s="325"/>
      <c r="I500" s="325"/>
      <c r="J500" s="325"/>
      <c r="K500" s="329"/>
      <c r="L500" s="325"/>
      <c r="M500" s="325"/>
    </row>
    <row r="501" spans="8:13" ht="15.75">
      <c r="H501" s="325"/>
      <c r="I501" s="325"/>
      <c r="J501" s="325"/>
      <c r="K501" s="329"/>
      <c r="L501" s="325"/>
      <c r="M501" s="325"/>
    </row>
    <row r="502" spans="8:13" ht="15.75">
      <c r="H502" s="325"/>
      <c r="I502" s="325"/>
      <c r="J502" s="325"/>
      <c r="K502" s="329"/>
      <c r="L502" s="325"/>
      <c r="M502" s="325"/>
    </row>
    <row r="503" spans="8:13" ht="15.75">
      <c r="H503" s="325"/>
      <c r="I503" s="325"/>
      <c r="J503" s="325"/>
      <c r="K503" s="329"/>
      <c r="L503" s="325"/>
      <c r="M503" s="325"/>
    </row>
    <row r="504" spans="8:13" ht="15.75">
      <c r="H504" s="325"/>
      <c r="I504" s="325"/>
      <c r="J504" s="325"/>
      <c r="K504" s="329"/>
      <c r="L504" s="325"/>
      <c r="M504" s="325"/>
    </row>
    <row r="505" spans="8:13" ht="15.75">
      <c r="H505" s="325"/>
      <c r="I505" s="325"/>
      <c r="J505" s="325"/>
      <c r="K505" s="329"/>
      <c r="L505" s="325"/>
      <c r="M505" s="325"/>
    </row>
    <row r="506" spans="8:13" ht="15.75">
      <c r="H506" s="325"/>
      <c r="I506" s="325"/>
      <c r="J506" s="325"/>
      <c r="K506" s="329"/>
      <c r="L506" s="325"/>
      <c r="M506" s="325"/>
    </row>
    <row r="507" spans="8:13" ht="15.75">
      <c r="H507" s="325"/>
      <c r="I507" s="325"/>
      <c r="J507" s="325"/>
      <c r="K507" s="329"/>
      <c r="L507" s="325"/>
      <c r="M507" s="325"/>
    </row>
    <row r="508" spans="8:13" ht="15.75">
      <c r="H508" s="325"/>
      <c r="I508" s="325"/>
      <c r="J508" s="325"/>
      <c r="K508" s="329"/>
      <c r="L508" s="325"/>
      <c r="M508" s="325"/>
    </row>
    <row r="509" spans="8:13" ht="15.75">
      <c r="H509" s="325"/>
      <c r="I509" s="325"/>
      <c r="J509" s="325"/>
      <c r="K509" s="329"/>
      <c r="L509" s="325"/>
      <c r="M509" s="325"/>
    </row>
    <row r="510" spans="8:13" ht="15.75">
      <c r="H510" s="325"/>
      <c r="I510" s="325"/>
      <c r="J510" s="325"/>
      <c r="K510" s="329"/>
      <c r="L510" s="325"/>
      <c r="M510" s="325"/>
    </row>
    <row r="511" spans="8:13" ht="15.75">
      <c r="H511" s="325"/>
      <c r="I511" s="325"/>
      <c r="J511" s="325"/>
      <c r="K511" s="329"/>
      <c r="L511" s="325"/>
      <c r="M511" s="325"/>
    </row>
    <row r="512" spans="8:13" ht="15.75">
      <c r="H512" s="325"/>
      <c r="I512" s="325"/>
      <c r="J512" s="325"/>
      <c r="K512" s="329"/>
      <c r="L512" s="325"/>
      <c r="M512" s="325"/>
    </row>
    <row r="513" spans="8:13" ht="15.75">
      <c r="H513" s="325"/>
      <c r="I513" s="325"/>
      <c r="J513" s="325"/>
      <c r="K513" s="329"/>
      <c r="L513" s="325"/>
      <c r="M513" s="325"/>
    </row>
    <row r="514" spans="8:13" ht="15.75">
      <c r="H514" s="325"/>
      <c r="I514" s="325"/>
      <c r="J514" s="325"/>
      <c r="K514" s="329"/>
      <c r="L514" s="325"/>
      <c r="M514" s="325"/>
    </row>
    <row r="515" spans="8:13" ht="15.75">
      <c r="H515" s="325"/>
      <c r="I515" s="325"/>
      <c r="J515" s="325"/>
      <c r="K515" s="329"/>
      <c r="L515" s="325"/>
      <c r="M515" s="325"/>
    </row>
    <row r="516" spans="8:13" ht="15.75">
      <c r="H516" s="325"/>
      <c r="I516" s="325"/>
      <c r="J516" s="325"/>
      <c r="K516" s="329"/>
      <c r="L516" s="325"/>
      <c r="M516" s="325"/>
    </row>
    <row r="517" spans="8:13" ht="15.75">
      <c r="H517" s="325"/>
      <c r="I517" s="325"/>
      <c r="J517" s="325"/>
      <c r="K517" s="329"/>
      <c r="L517" s="325"/>
      <c r="M517" s="325"/>
    </row>
    <row r="518" spans="8:13" ht="15.75">
      <c r="H518" s="325"/>
      <c r="I518" s="325"/>
      <c r="J518" s="325"/>
      <c r="K518" s="329"/>
      <c r="L518" s="325"/>
      <c r="M518" s="325"/>
    </row>
    <row r="519" spans="8:13" ht="15.75">
      <c r="H519" s="325"/>
      <c r="I519" s="325"/>
      <c r="J519" s="325"/>
      <c r="K519" s="329"/>
      <c r="L519" s="325"/>
      <c r="M519" s="325"/>
    </row>
    <row r="520" spans="8:13" ht="15.75">
      <c r="H520" s="325"/>
      <c r="I520" s="325"/>
      <c r="J520" s="325"/>
      <c r="K520" s="329"/>
      <c r="L520" s="325"/>
      <c r="M520" s="325"/>
    </row>
    <row r="521" spans="8:13" ht="15.75">
      <c r="H521" s="325"/>
      <c r="I521" s="325"/>
      <c r="J521" s="325"/>
      <c r="K521" s="329"/>
      <c r="L521" s="325"/>
      <c r="M521" s="325"/>
    </row>
    <row r="522" spans="8:13" ht="15.75">
      <c r="H522" s="325"/>
      <c r="I522" s="325"/>
      <c r="J522" s="325"/>
      <c r="K522" s="329"/>
      <c r="L522" s="325"/>
      <c r="M522" s="325"/>
    </row>
    <row r="523" spans="8:13" ht="15.75">
      <c r="H523" s="325"/>
      <c r="I523" s="325"/>
      <c r="J523" s="325"/>
      <c r="K523" s="329"/>
      <c r="L523" s="325"/>
      <c r="M523" s="325"/>
    </row>
    <row r="524" spans="8:13" ht="15.75">
      <c r="H524" s="325"/>
      <c r="I524" s="325"/>
      <c r="J524" s="325"/>
      <c r="K524" s="329"/>
      <c r="L524" s="325"/>
      <c r="M524" s="325"/>
    </row>
    <row r="525" spans="8:13" ht="15.75">
      <c r="H525" s="325"/>
      <c r="I525" s="325"/>
      <c r="J525" s="325"/>
      <c r="K525" s="329"/>
      <c r="L525" s="325"/>
      <c r="M525" s="325"/>
    </row>
    <row r="526" spans="8:13" ht="15.75">
      <c r="H526" s="325"/>
      <c r="I526" s="325"/>
      <c r="J526" s="325"/>
      <c r="K526" s="329"/>
      <c r="L526" s="325"/>
      <c r="M526" s="325"/>
    </row>
    <row r="527" spans="8:13" ht="15.75">
      <c r="H527" s="325"/>
      <c r="I527" s="325"/>
      <c r="J527" s="325"/>
      <c r="K527" s="329"/>
      <c r="L527" s="325"/>
      <c r="M527" s="325"/>
    </row>
    <row r="528" spans="8:13" ht="15.75">
      <c r="H528" s="325"/>
      <c r="I528" s="325"/>
      <c r="J528" s="325"/>
      <c r="K528" s="329"/>
      <c r="L528" s="325"/>
      <c r="M528" s="325"/>
    </row>
    <row r="529" spans="8:13" ht="15.75">
      <c r="H529" s="325"/>
      <c r="I529" s="325"/>
      <c r="J529" s="325"/>
      <c r="K529" s="329"/>
      <c r="L529" s="325"/>
      <c r="M529" s="325"/>
    </row>
    <row r="530" spans="8:13" ht="15.75">
      <c r="H530" s="325"/>
      <c r="I530" s="325"/>
      <c r="J530" s="325"/>
      <c r="K530" s="329"/>
      <c r="L530" s="325"/>
      <c r="M530" s="325"/>
    </row>
    <row r="531" spans="8:13" ht="15.75">
      <c r="H531" s="325"/>
      <c r="I531" s="325"/>
      <c r="J531" s="325"/>
      <c r="K531" s="329"/>
      <c r="L531" s="325"/>
      <c r="M531" s="325"/>
    </row>
    <row r="532" spans="8:13" ht="15.75">
      <c r="H532" s="325"/>
      <c r="I532" s="325"/>
      <c r="J532" s="325"/>
      <c r="K532" s="329"/>
      <c r="L532" s="325"/>
      <c r="M532" s="325"/>
    </row>
    <row r="533" spans="8:13" ht="15.75">
      <c r="H533" s="325"/>
      <c r="I533" s="325"/>
      <c r="J533" s="325"/>
      <c r="K533" s="329"/>
      <c r="L533" s="325"/>
      <c r="M533" s="325"/>
    </row>
    <row r="534" spans="8:13" ht="15.75">
      <c r="H534" s="325"/>
      <c r="I534" s="325"/>
      <c r="J534" s="325"/>
      <c r="K534" s="329"/>
      <c r="L534" s="325"/>
      <c r="M534" s="325"/>
    </row>
    <row r="535" spans="8:13" ht="15.75">
      <c r="H535" s="325"/>
      <c r="I535" s="325"/>
      <c r="J535" s="325"/>
      <c r="K535" s="329"/>
      <c r="L535" s="325"/>
      <c r="M535" s="325"/>
    </row>
    <row r="536" spans="8:13" ht="15.75">
      <c r="H536" s="325"/>
      <c r="I536" s="325"/>
      <c r="J536" s="325"/>
      <c r="K536" s="329"/>
      <c r="L536" s="325"/>
      <c r="M536" s="325"/>
    </row>
    <row r="537" spans="8:13" ht="15.75">
      <c r="H537" s="325"/>
      <c r="I537" s="325"/>
      <c r="J537" s="325"/>
      <c r="K537" s="329"/>
      <c r="L537" s="325"/>
      <c r="M537" s="325"/>
    </row>
    <row r="538" spans="8:13" ht="15.75">
      <c r="H538" s="325"/>
      <c r="I538" s="325"/>
      <c r="J538" s="325"/>
      <c r="K538" s="329"/>
      <c r="L538" s="325"/>
      <c r="M538" s="325"/>
    </row>
    <row r="539" spans="8:13" ht="15.75">
      <c r="H539" s="325"/>
      <c r="I539" s="325"/>
      <c r="J539" s="325"/>
      <c r="K539" s="329"/>
      <c r="L539" s="325"/>
      <c r="M539" s="325"/>
    </row>
    <row r="540" spans="8:13" ht="15.75">
      <c r="H540" s="325"/>
      <c r="I540" s="325"/>
      <c r="J540" s="325"/>
      <c r="K540" s="329"/>
      <c r="L540" s="325"/>
      <c r="M540" s="325"/>
    </row>
    <row r="541" spans="8:13" ht="15.75">
      <c r="H541" s="325"/>
      <c r="I541" s="325"/>
      <c r="J541" s="325"/>
      <c r="K541" s="329"/>
      <c r="L541" s="325"/>
      <c r="M541" s="325"/>
    </row>
    <row r="542" spans="8:13" ht="15.75">
      <c r="H542" s="325"/>
      <c r="I542" s="325"/>
      <c r="J542" s="325"/>
      <c r="K542" s="329"/>
      <c r="L542" s="325"/>
      <c r="M542" s="325"/>
    </row>
    <row r="543" spans="8:13" ht="15.75">
      <c r="H543" s="325"/>
      <c r="I543" s="325"/>
      <c r="J543" s="325"/>
      <c r="K543" s="329"/>
      <c r="L543" s="325"/>
      <c r="M543" s="325"/>
    </row>
    <row r="544" spans="8:13" ht="15.75">
      <c r="H544" s="325"/>
      <c r="I544" s="325"/>
      <c r="J544" s="325"/>
      <c r="K544" s="329"/>
      <c r="L544" s="325"/>
      <c r="M544" s="325"/>
    </row>
    <row r="545" spans="8:13" ht="15.75">
      <c r="H545" s="325"/>
      <c r="I545" s="325"/>
      <c r="J545" s="325"/>
      <c r="K545" s="329"/>
      <c r="L545" s="325"/>
      <c r="M545" s="325"/>
    </row>
    <row r="546" spans="8:13" ht="15.75">
      <c r="H546" s="325"/>
      <c r="I546" s="325"/>
      <c r="J546" s="325"/>
      <c r="K546" s="329"/>
      <c r="L546" s="325"/>
      <c r="M546" s="325"/>
    </row>
    <row r="547" spans="8:13" ht="15.75">
      <c r="H547" s="325"/>
      <c r="I547" s="325"/>
      <c r="J547" s="325"/>
      <c r="K547" s="329"/>
      <c r="L547" s="325"/>
      <c r="M547" s="325"/>
    </row>
    <row r="548" spans="8:13" ht="15.75">
      <c r="H548" s="325"/>
      <c r="I548" s="325"/>
      <c r="J548" s="325"/>
      <c r="K548" s="329"/>
      <c r="L548" s="325"/>
      <c r="M548" s="325"/>
    </row>
    <row r="549" spans="8:13" ht="15.75">
      <c r="H549" s="325"/>
      <c r="I549" s="325"/>
      <c r="J549" s="325"/>
      <c r="K549" s="329"/>
      <c r="L549" s="325"/>
      <c r="M549" s="325"/>
    </row>
    <row r="550" spans="8:13" ht="15.75">
      <c r="H550" s="325"/>
      <c r="I550" s="325"/>
      <c r="J550" s="325"/>
      <c r="K550" s="329"/>
      <c r="L550" s="325"/>
      <c r="M550" s="325"/>
    </row>
    <row r="551" spans="8:13" ht="15.75">
      <c r="H551" s="325"/>
      <c r="I551" s="325"/>
      <c r="J551" s="325"/>
      <c r="K551" s="329"/>
      <c r="L551" s="325"/>
      <c r="M551" s="325"/>
    </row>
    <row r="552" spans="8:13" ht="15.75">
      <c r="H552" s="325"/>
      <c r="I552" s="325"/>
      <c r="J552" s="325"/>
      <c r="K552" s="329"/>
      <c r="L552" s="325"/>
      <c r="M552" s="325"/>
    </row>
    <row r="553" spans="8:13" ht="15.75">
      <c r="H553" s="325"/>
      <c r="I553" s="325"/>
      <c r="J553" s="325"/>
      <c r="K553" s="329"/>
      <c r="L553" s="325"/>
      <c r="M553" s="325"/>
    </row>
    <row r="554" spans="8:13" ht="15.75">
      <c r="H554" s="325"/>
      <c r="I554" s="325"/>
      <c r="J554" s="325"/>
      <c r="K554" s="329"/>
      <c r="L554" s="325"/>
      <c r="M554" s="325"/>
    </row>
    <row r="555" spans="8:13" ht="15.75">
      <c r="H555" s="325"/>
      <c r="I555" s="325"/>
      <c r="J555" s="325"/>
      <c r="K555" s="329"/>
      <c r="L555" s="325"/>
      <c r="M555" s="325"/>
    </row>
    <row r="556" spans="8:13" ht="15.75">
      <c r="H556" s="325"/>
      <c r="I556" s="325"/>
      <c r="J556" s="325"/>
      <c r="K556" s="329"/>
      <c r="L556" s="325"/>
      <c r="M556" s="325"/>
    </row>
    <row r="557" spans="8:13" ht="15.75">
      <c r="H557" s="325"/>
      <c r="I557" s="325"/>
      <c r="J557" s="325"/>
      <c r="K557" s="329"/>
      <c r="L557" s="325"/>
      <c r="M557" s="325"/>
    </row>
    <row r="558" spans="8:13" ht="15.75">
      <c r="H558" s="325"/>
      <c r="I558" s="325"/>
      <c r="J558" s="325"/>
      <c r="K558" s="329"/>
      <c r="L558" s="325"/>
      <c r="M558" s="325"/>
    </row>
    <row r="559" spans="8:13" ht="15.75">
      <c r="H559" s="325"/>
      <c r="I559" s="325"/>
      <c r="J559" s="325"/>
      <c r="K559" s="329"/>
      <c r="L559" s="325"/>
      <c r="M559" s="325"/>
    </row>
    <row r="560" spans="8:13" ht="15.75">
      <c r="H560" s="325"/>
      <c r="I560" s="325"/>
      <c r="J560" s="325"/>
      <c r="K560" s="329"/>
      <c r="L560" s="325"/>
      <c r="M560" s="325"/>
    </row>
    <row r="561" spans="8:13" ht="15.75">
      <c r="H561" s="325"/>
      <c r="I561" s="325"/>
      <c r="J561" s="325"/>
      <c r="K561" s="329"/>
      <c r="L561" s="325"/>
      <c r="M561" s="325"/>
    </row>
    <row r="562" spans="8:13" ht="15.75">
      <c r="H562" s="325"/>
      <c r="I562" s="325"/>
      <c r="J562" s="325"/>
      <c r="K562" s="329"/>
      <c r="L562" s="325"/>
      <c r="M562" s="325"/>
    </row>
    <row r="563" spans="8:13" ht="15.75">
      <c r="H563" s="325"/>
      <c r="I563" s="325"/>
      <c r="J563" s="325"/>
      <c r="K563" s="329"/>
      <c r="L563" s="325"/>
      <c r="M563" s="325"/>
    </row>
    <row r="564" spans="8:13" ht="15.75">
      <c r="H564" s="325"/>
      <c r="I564" s="325"/>
      <c r="J564" s="325"/>
      <c r="K564" s="329"/>
      <c r="L564" s="325"/>
      <c r="M564" s="325"/>
    </row>
    <row r="565" spans="8:13" ht="15.75">
      <c r="H565" s="325"/>
      <c r="I565" s="325"/>
      <c r="J565" s="325"/>
      <c r="K565" s="329"/>
      <c r="L565" s="325"/>
      <c r="M565" s="325"/>
    </row>
    <row r="566" spans="8:13" ht="15.75">
      <c r="H566" s="325"/>
      <c r="I566" s="325"/>
      <c r="J566" s="325"/>
      <c r="K566" s="329"/>
      <c r="L566" s="325"/>
      <c r="M566" s="325"/>
    </row>
    <row r="567" spans="8:13" ht="15.75">
      <c r="H567" s="325"/>
      <c r="I567" s="325"/>
      <c r="J567" s="325"/>
      <c r="K567" s="329"/>
      <c r="L567" s="325"/>
      <c r="M567" s="325"/>
    </row>
    <row r="568" spans="8:13" ht="15.75">
      <c r="H568" s="325"/>
      <c r="I568" s="325"/>
      <c r="J568" s="325"/>
      <c r="K568" s="329"/>
      <c r="L568" s="325"/>
      <c r="M568" s="325"/>
    </row>
    <row r="569" spans="8:13" ht="15.75">
      <c r="H569" s="325"/>
      <c r="I569" s="325"/>
      <c r="J569" s="325"/>
      <c r="K569" s="329"/>
      <c r="L569" s="325"/>
      <c r="M569" s="325"/>
    </row>
    <row r="570" spans="8:13" ht="15.75">
      <c r="H570" s="325"/>
      <c r="I570" s="325"/>
      <c r="J570" s="325"/>
      <c r="K570" s="329"/>
      <c r="L570" s="325"/>
      <c r="M570" s="325"/>
    </row>
    <row r="571" spans="8:13" ht="15.75">
      <c r="H571" s="325"/>
      <c r="I571" s="325"/>
      <c r="J571" s="325"/>
      <c r="K571" s="329"/>
      <c r="L571" s="325"/>
      <c r="M571" s="325"/>
    </row>
    <row r="572" spans="8:13" ht="15.75">
      <c r="H572" s="325"/>
      <c r="I572" s="325"/>
      <c r="J572" s="325"/>
      <c r="K572" s="329"/>
      <c r="L572" s="325"/>
      <c r="M572" s="325"/>
    </row>
    <row r="573" spans="8:13" ht="15.75">
      <c r="H573" s="325"/>
      <c r="I573" s="325"/>
      <c r="J573" s="325"/>
      <c r="K573" s="329"/>
      <c r="L573" s="325"/>
      <c r="M573" s="325"/>
    </row>
    <row r="574" spans="8:13" ht="15.75">
      <c r="H574" s="325"/>
      <c r="I574" s="325"/>
      <c r="J574" s="325"/>
      <c r="K574" s="329"/>
      <c r="L574" s="325"/>
      <c r="M574" s="325"/>
    </row>
    <row r="575" spans="8:13" ht="15.75">
      <c r="H575" s="325"/>
      <c r="I575" s="325"/>
      <c r="J575" s="325"/>
      <c r="K575" s="329"/>
      <c r="L575" s="325"/>
      <c r="M575" s="325"/>
    </row>
    <row r="576" spans="8:13" ht="15.75">
      <c r="H576" s="325"/>
      <c r="I576" s="325"/>
      <c r="J576" s="325"/>
      <c r="K576" s="329"/>
      <c r="L576" s="325"/>
      <c r="M576" s="325"/>
    </row>
    <row r="577" spans="8:13" ht="15.75">
      <c r="H577" s="325"/>
      <c r="I577" s="325"/>
      <c r="J577" s="325"/>
      <c r="K577" s="329"/>
      <c r="L577" s="325"/>
      <c r="M577" s="325"/>
    </row>
    <row r="578" spans="8:13" ht="15.75">
      <c r="H578" s="325"/>
      <c r="I578" s="325"/>
      <c r="J578" s="325"/>
      <c r="K578" s="329"/>
      <c r="L578" s="325"/>
      <c r="M578" s="325"/>
    </row>
    <row r="579" spans="8:13" ht="15.75">
      <c r="H579" s="325"/>
      <c r="I579" s="325"/>
      <c r="J579" s="325"/>
      <c r="K579" s="329"/>
      <c r="L579" s="325"/>
      <c r="M579" s="325"/>
    </row>
    <row r="580" spans="8:13" ht="15.75">
      <c r="H580" s="325"/>
      <c r="I580" s="325"/>
      <c r="J580" s="325"/>
      <c r="K580" s="329"/>
      <c r="L580" s="325"/>
      <c r="M580" s="325"/>
    </row>
    <row r="581" spans="8:13" ht="15.75">
      <c r="H581" s="325"/>
      <c r="I581" s="325"/>
      <c r="J581" s="325"/>
      <c r="K581" s="329"/>
      <c r="L581" s="325"/>
      <c r="M581" s="325"/>
    </row>
    <row r="582" spans="8:13" ht="15.75">
      <c r="H582" s="325"/>
      <c r="I582" s="325"/>
      <c r="J582" s="325"/>
      <c r="K582" s="329"/>
      <c r="L582" s="325"/>
      <c r="M582" s="325"/>
    </row>
    <row r="583" spans="8:13" ht="15.75">
      <c r="H583" s="325"/>
      <c r="I583" s="325"/>
      <c r="J583" s="325"/>
      <c r="K583" s="329"/>
      <c r="L583" s="325"/>
      <c r="M583" s="325"/>
    </row>
    <row r="584" spans="8:13" ht="15.75">
      <c r="H584" s="325"/>
      <c r="I584" s="325"/>
      <c r="J584" s="325"/>
      <c r="K584" s="329"/>
      <c r="L584" s="325"/>
      <c r="M584" s="325"/>
    </row>
    <row r="585" spans="8:13" ht="15.75">
      <c r="H585" s="325"/>
      <c r="I585" s="325"/>
      <c r="J585" s="325"/>
      <c r="K585" s="329"/>
      <c r="L585" s="325"/>
      <c r="M585" s="325"/>
    </row>
    <row r="586" spans="8:13" ht="15.75">
      <c r="H586" s="325"/>
      <c r="I586" s="325"/>
      <c r="J586" s="325"/>
      <c r="K586" s="329"/>
      <c r="L586" s="325"/>
      <c r="M586" s="325"/>
    </row>
    <row r="587" spans="8:13" ht="15.75">
      <c r="H587" s="325"/>
      <c r="I587" s="325"/>
      <c r="J587" s="325"/>
      <c r="K587" s="329"/>
      <c r="L587" s="325"/>
      <c r="M587" s="325"/>
    </row>
    <row r="588" spans="8:13" ht="15.75">
      <c r="H588" s="325"/>
      <c r="I588" s="325"/>
      <c r="J588" s="325"/>
      <c r="K588" s="329"/>
      <c r="L588" s="325"/>
      <c r="M588" s="325"/>
    </row>
    <row r="589" spans="8:13" ht="15.75">
      <c r="H589" s="325"/>
      <c r="I589" s="325"/>
      <c r="J589" s="325"/>
      <c r="K589" s="329"/>
      <c r="L589" s="325"/>
      <c r="M589" s="325"/>
    </row>
    <row r="590" spans="8:13" ht="15.75">
      <c r="H590" s="325"/>
      <c r="I590" s="325"/>
      <c r="J590" s="325"/>
      <c r="K590" s="329"/>
      <c r="L590" s="325"/>
      <c r="M590" s="325"/>
    </row>
    <row r="591" spans="8:13" ht="15.75">
      <c r="H591" s="325"/>
      <c r="I591" s="325"/>
      <c r="J591" s="325"/>
      <c r="K591" s="329"/>
      <c r="L591" s="325"/>
      <c r="M591" s="325"/>
    </row>
    <row r="592" spans="8:13" ht="15.75">
      <c r="H592" s="325"/>
      <c r="I592" s="325"/>
      <c r="J592" s="325"/>
      <c r="K592" s="329"/>
      <c r="L592" s="325"/>
      <c r="M592" s="325"/>
    </row>
    <row r="593" spans="8:13" ht="15.75">
      <c r="H593" s="325"/>
      <c r="I593" s="325"/>
      <c r="J593" s="325"/>
      <c r="K593" s="329"/>
      <c r="L593" s="325"/>
      <c r="M593" s="325"/>
    </row>
    <row r="594" spans="8:13" ht="15.75">
      <c r="H594" s="325"/>
      <c r="I594" s="325"/>
      <c r="J594" s="325"/>
      <c r="K594" s="329"/>
      <c r="L594" s="325"/>
      <c r="M594" s="325"/>
    </row>
    <row r="595" spans="8:13" ht="15.75">
      <c r="H595" s="325"/>
      <c r="I595" s="325"/>
      <c r="J595" s="325"/>
      <c r="K595" s="329"/>
      <c r="L595" s="325"/>
      <c r="M595" s="325"/>
    </row>
    <row r="596" spans="8:13" ht="15.75">
      <c r="H596" s="325"/>
      <c r="I596" s="325"/>
      <c r="J596" s="325"/>
      <c r="K596" s="329"/>
      <c r="L596" s="325"/>
      <c r="M596" s="325"/>
    </row>
    <row r="597" spans="8:13" ht="15.75">
      <c r="H597" s="325"/>
      <c r="I597" s="325"/>
      <c r="J597" s="325"/>
      <c r="K597" s="329"/>
      <c r="L597" s="325"/>
      <c r="M597" s="325"/>
    </row>
    <row r="598" spans="8:13" ht="15.75">
      <c r="H598" s="325"/>
      <c r="I598" s="325"/>
      <c r="J598" s="325"/>
      <c r="K598" s="329"/>
      <c r="L598" s="325"/>
      <c r="M598" s="325"/>
    </row>
    <row r="599" spans="8:13" ht="15.75">
      <c r="H599" s="325"/>
      <c r="I599" s="325"/>
      <c r="J599" s="325"/>
      <c r="K599" s="329"/>
      <c r="L599" s="325"/>
      <c r="M599" s="325"/>
    </row>
    <row r="600" spans="8:13" ht="15.75">
      <c r="H600" s="325"/>
      <c r="I600" s="325"/>
      <c r="J600" s="325"/>
      <c r="K600" s="329"/>
      <c r="L600" s="325"/>
      <c r="M600" s="325"/>
    </row>
    <row r="601" spans="8:13" ht="15.75">
      <c r="H601" s="325"/>
      <c r="I601" s="325"/>
      <c r="J601" s="325"/>
      <c r="K601" s="329"/>
      <c r="L601" s="325"/>
      <c r="M601" s="325"/>
    </row>
    <row r="602" spans="8:13" ht="15.75">
      <c r="H602" s="325"/>
      <c r="I602" s="325"/>
      <c r="J602" s="325"/>
      <c r="K602" s="329"/>
      <c r="L602" s="325"/>
      <c r="M602" s="325"/>
    </row>
    <row r="603" spans="8:13" ht="15.75">
      <c r="H603" s="325"/>
      <c r="I603" s="325"/>
      <c r="J603" s="325"/>
      <c r="K603" s="329"/>
      <c r="L603" s="325"/>
      <c r="M603" s="325"/>
    </row>
    <row r="604" spans="8:13" ht="15.75">
      <c r="H604" s="325"/>
      <c r="I604" s="325"/>
      <c r="J604" s="325"/>
      <c r="K604" s="329"/>
      <c r="L604" s="325"/>
      <c r="M604" s="325"/>
    </row>
    <row r="605" spans="8:13" ht="15.75">
      <c r="H605" s="325"/>
      <c r="I605" s="325"/>
      <c r="J605" s="325"/>
      <c r="K605" s="329"/>
      <c r="L605" s="325"/>
      <c r="M605" s="325"/>
    </row>
    <row r="606" spans="8:13" ht="15.75">
      <c r="H606" s="325"/>
      <c r="I606" s="325"/>
      <c r="J606" s="325"/>
      <c r="K606" s="329"/>
      <c r="L606" s="325"/>
      <c r="M606" s="325"/>
    </row>
    <row r="607" spans="8:13" ht="15.75">
      <c r="H607" s="325"/>
      <c r="I607" s="325"/>
      <c r="J607" s="325"/>
      <c r="K607" s="329"/>
      <c r="L607" s="325"/>
      <c r="M607" s="325"/>
    </row>
    <row r="608" spans="8:13" ht="15.75">
      <c r="H608" s="325"/>
      <c r="I608" s="325"/>
      <c r="J608" s="325"/>
      <c r="K608" s="329"/>
      <c r="L608" s="325"/>
      <c r="M608" s="325"/>
    </row>
    <row r="609" spans="8:13" ht="15.75">
      <c r="H609" s="325"/>
      <c r="I609" s="325"/>
      <c r="J609" s="325"/>
      <c r="K609" s="329"/>
      <c r="L609" s="325"/>
      <c r="M609" s="325"/>
    </row>
    <row r="610" spans="8:13" ht="15.75">
      <c r="H610" s="325"/>
      <c r="I610" s="325"/>
      <c r="J610" s="325"/>
      <c r="K610" s="329"/>
      <c r="L610" s="325"/>
      <c r="M610" s="325"/>
    </row>
    <row r="611" spans="8:13" ht="15.75">
      <c r="H611" s="325"/>
      <c r="I611" s="325"/>
      <c r="J611" s="325"/>
      <c r="K611" s="329"/>
      <c r="L611" s="325"/>
      <c r="M611" s="325"/>
    </row>
    <row r="612" spans="8:13" ht="15.75">
      <c r="H612" s="325"/>
      <c r="I612" s="325"/>
      <c r="J612" s="325"/>
      <c r="K612" s="329"/>
      <c r="L612" s="325"/>
      <c r="M612" s="325"/>
    </row>
    <row r="613" spans="8:13" ht="15.75">
      <c r="H613" s="325"/>
      <c r="I613" s="325"/>
      <c r="J613" s="325"/>
      <c r="K613" s="329"/>
      <c r="L613" s="325"/>
      <c r="M613" s="325"/>
    </row>
    <row r="614" spans="8:13" ht="15.75">
      <c r="H614" s="325"/>
      <c r="I614" s="325"/>
      <c r="J614" s="325"/>
      <c r="K614" s="329"/>
      <c r="L614" s="325"/>
      <c r="M614" s="325"/>
    </row>
    <row r="615" spans="8:13" ht="15.75">
      <c r="H615" s="325"/>
      <c r="I615" s="325"/>
      <c r="J615" s="325"/>
      <c r="K615" s="329"/>
      <c r="L615" s="325"/>
      <c r="M615" s="325"/>
    </row>
    <row r="616" spans="8:13" ht="15.75">
      <c r="H616" s="325"/>
      <c r="I616" s="325"/>
      <c r="J616" s="325"/>
      <c r="K616" s="329"/>
      <c r="L616" s="325"/>
      <c r="M616" s="325"/>
    </row>
    <row r="617" spans="8:13" ht="15.75">
      <c r="H617" s="325"/>
      <c r="I617" s="325"/>
      <c r="J617" s="325"/>
      <c r="K617" s="329"/>
      <c r="L617" s="325"/>
      <c r="M617" s="325"/>
    </row>
    <row r="618" spans="8:13" ht="15.75">
      <c r="H618" s="325"/>
      <c r="I618" s="325"/>
      <c r="J618" s="325"/>
      <c r="K618" s="329"/>
      <c r="L618" s="325"/>
      <c r="M618" s="325"/>
    </row>
    <row r="619" spans="8:13" ht="15.75">
      <c r="H619" s="325"/>
      <c r="I619" s="325"/>
      <c r="J619" s="325"/>
      <c r="K619" s="329"/>
      <c r="L619" s="325"/>
      <c r="M619" s="325"/>
    </row>
    <row r="620" spans="8:13" ht="15.75">
      <c r="H620" s="325"/>
      <c r="I620" s="325"/>
      <c r="J620" s="325"/>
      <c r="K620" s="329"/>
      <c r="L620" s="325"/>
      <c r="M620" s="325"/>
    </row>
    <row r="621" spans="8:13" ht="15.75">
      <c r="H621" s="325"/>
      <c r="I621" s="325"/>
      <c r="J621" s="325"/>
      <c r="K621" s="329"/>
      <c r="L621" s="325"/>
      <c r="M621" s="325"/>
    </row>
    <row r="622" spans="8:13" ht="15.75">
      <c r="H622" s="325"/>
      <c r="I622" s="325"/>
      <c r="J622" s="325"/>
      <c r="K622" s="329"/>
      <c r="L622" s="325"/>
      <c r="M622" s="325"/>
    </row>
    <row r="623" spans="8:13" ht="15.75">
      <c r="H623" s="325"/>
      <c r="I623" s="325"/>
      <c r="J623" s="325"/>
      <c r="K623" s="329"/>
      <c r="L623" s="325"/>
      <c r="M623" s="325"/>
    </row>
    <row r="624" spans="8:13" ht="15.75">
      <c r="H624" s="325"/>
      <c r="I624" s="325"/>
      <c r="J624" s="325"/>
      <c r="K624" s="329"/>
      <c r="L624" s="325"/>
      <c r="M624" s="325"/>
    </row>
    <row r="625" spans="8:13" ht="15.75">
      <c r="H625" s="325"/>
      <c r="I625" s="325"/>
      <c r="J625" s="325"/>
      <c r="K625" s="329"/>
      <c r="L625" s="325"/>
      <c r="M625" s="325"/>
    </row>
    <row r="626" spans="8:13" ht="15.75">
      <c r="H626" s="325"/>
      <c r="I626" s="325"/>
      <c r="J626" s="325"/>
      <c r="K626" s="329"/>
      <c r="L626" s="325"/>
      <c r="M626" s="325"/>
    </row>
    <row r="627" spans="8:13" ht="15.75">
      <c r="H627" s="325"/>
      <c r="I627" s="325"/>
      <c r="J627" s="325"/>
      <c r="K627" s="329"/>
      <c r="L627" s="325"/>
      <c r="M627" s="325"/>
    </row>
    <row r="628" spans="8:13" ht="15.75">
      <c r="H628" s="325"/>
      <c r="I628" s="325"/>
      <c r="J628" s="325"/>
      <c r="K628" s="329"/>
      <c r="L628" s="325"/>
      <c r="M628" s="325"/>
    </row>
    <row r="629" spans="8:13" ht="15.75">
      <c r="H629" s="325"/>
      <c r="I629" s="325"/>
      <c r="J629" s="325"/>
      <c r="K629" s="329"/>
      <c r="L629" s="325"/>
      <c r="M629" s="325"/>
    </row>
    <row r="630" spans="8:13" ht="15.75">
      <c r="H630" s="325"/>
      <c r="I630" s="325"/>
      <c r="J630" s="325"/>
      <c r="K630" s="329"/>
      <c r="L630" s="325"/>
      <c r="M630" s="325"/>
    </row>
    <row r="631" spans="8:13" ht="15.75">
      <c r="H631" s="325"/>
      <c r="I631" s="325"/>
      <c r="J631" s="325"/>
      <c r="K631" s="329"/>
      <c r="L631" s="325"/>
      <c r="M631" s="325"/>
    </row>
    <row r="632" spans="8:13" ht="15.75">
      <c r="H632" s="325"/>
      <c r="I632" s="325"/>
      <c r="J632" s="325"/>
      <c r="K632" s="329"/>
      <c r="L632" s="325"/>
      <c r="M632" s="325"/>
    </row>
    <row r="633" spans="8:13" ht="15.75">
      <c r="H633" s="325"/>
      <c r="I633" s="325"/>
      <c r="J633" s="325"/>
      <c r="K633" s="329"/>
      <c r="L633" s="325"/>
      <c r="M633" s="325"/>
    </row>
    <row r="634" spans="8:13" ht="15.75">
      <c r="H634" s="325"/>
      <c r="I634" s="325"/>
      <c r="J634" s="325"/>
      <c r="K634" s="329"/>
      <c r="L634" s="325"/>
      <c r="M634" s="325"/>
    </row>
    <row r="635" spans="8:13" ht="15.75">
      <c r="H635" s="325"/>
      <c r="I635" s="325"/>
      <c r="J635" s="325"/>
      <c r="K635" s="329"/>
      <c r="L635" s="325"/>
      <c r="M635" s="325"/>
    </row>
    <row r="636" spans="8:13" ht="15.75">
      <c r="H636" s="325"/>
      <c r="I636" s="325"/>
      <c r="J636" s="325"/>
      <c r="K636" s="329"/>
      <c r="L636" s="325"/>
      <c r="M636" s="325"/>
    </row>
    <row r="637" spans="8:13" ht="15.75">
      <c r="H637" s="325"/>
      <c r="I637" s="325"/>
      <c r="J637" s="325"/>
      <c r="K637" s="329"/>
      <c r="L637" s="325"/>
      <c r="M637" s="325"/>
    </row>
    <row r="638" spans="8:13" ht="15.75">
      <c r="H638" s="325"/>
      <c r="I638" s="325"/>
      <c r="J638" s="325"/>
      <c r="K638" s="329"/>
      <c r="L638" s="325"/>
      <c r="M638" s="325"/>
    </row>
    <row r="639" spans="8:13" ht="15.75">
      <c r="H639" s="325"/>
      <c r="I639" s="325"/>
      <c r="J639" s="325"/>
      <c r="K639" s="329"/>
      <c r="L639" s="325"/>
      <c r="M639" s="325"/>
    </row>
    <row r="640" spans="8:13" ht="15.75">
      <c r="H640" s="325"/>
      <c r="I640" s="325"/>
      <c r="J640" s="325"/>
      <c r="K640" s="329"/>
      <c r="L640" s="325"/>
      <c r="M640" s="325"/>
    </row>
    <row r="641" spans="8:13" ht="15.75">
      <c r="H641" s="325"/>
      <c r="I641" s="325"/>
      <c r="J641" s="325"/>
      <c r="K641" s="329"/>
      <c r="L641" s="325"/>
      <c r="M641" s="325"/>
    </row>
    <row r="642" spans="8:13" ht="15.75">
      <c r="H642" s="325"/>
      <c r="I642" s="325"/>
      <c r="J642" s="325"/>
      <c r="K642" s="329"/>
      <c r="L642" s="325"/>
      <c r="M642" s="325"/>
    </row>
    <row r="643" spans="8:13" ht="15.75">
      <c r="H643" s="325"/>
      <c r="I643" s="325"/>
      <c r="J643" s="325"/>
      <c r="K643" s="329"/>
      <c r="L643" s="325"/>
      <c r="M643" s="325"/>
    </row>
    <row r="644" spans="8:13" ht="15.75">
      <c r="H644" s="325"/>
      <c r="I644" s="325"/>
      <c r="J644" s="325"/>
      <c r="K644" s="329"/>
      <c r="L644" s="325"/>
      <c r="M644" s="325"/>
    </row>
    <row r="645" spans="8:13" ht="15.75">
      <c r="H645" s="325"/>
      <c r="I645" s="325"/>
      <c r="J645" s="325"/>
      <c r="K645" s="329"/>
      <c r="L645" s="325"/>
      <c r="M645" s="325"/>
    </row>
    <row r="646" spans="8:13" ht="15.75">
      <c r="H646" s="325"/>
      <c r="I646" s="325"/>
      <c r="J646" s="325"/>
      <c r="K646" s="329"/>
      <c r="L646" s="325"/>
      <c r="M646" s="325"/>
    </row>
    <row r="647" spans="8:13" ht="15.75">
      <c r="H647" s="325"/>
      <c r="I647" s="325"/>
      <c r="J647" s="325"/>
      <c r="K647" s="329"/>
      <c r="L647" s="325"/>
      <c r="M647" s="325"/>
    </row>
    <row r="648" spans="8:13" ht="15.75">
      <c r="H648" s="325"/>
      <c r="I648" s="325"/>
      <c r="J648" s="325"/>
      <c r="K648" s="329"/>
      <c r="L648" s="325"/>
      <c r="M648" s="325"/>
    </row>
    <row r="649" spans="8:13" ht="15.75">
      <c r="H649" s="325"/>
      <c r="I649" s="325"/>
      <c r="J649" s="325"/>
      <c r="K649" s="329"/>
      <c r="L649" s="325"/>
      <c r="M649" s="325"/>
    </row>
    <row r="650" spans="8:13" ht="15.75">
      <c r="H650" s="325"/>
      <c r="I650" s="325"/>
      <c r="J650" s="325"/>
      <c r="K650" s="329"/>
      <c r="L650" s="325"/>
      <c r="M650" s="325"/>
    </row>
    <row r="651" spans="8:13" ht="15.75">
      <c r="H651" s="325"/>
      <c r="I651" s="325"/>
      <c r="J651" s="325"/>
      <c r="K651" s="329"/>
      <c r="L651" s="325"/>
      <c r="M651" s="325"/>
    </row>
    <row r="652" spans="8:13" ht="15.75">
      <c r="H652" s="325"/>
      <c r="I652" s="325"/>
      <c r="J652" s="325"/>
      <c r="K652" s="329"/>
      <c r="L652" s="325"/>
      <c r="M652" s="325"/>
    </row>
    <row r="653" spans="8:13" ht="15.75">
      <c r="H653" s="325"/>
      <c r="I653" s="325"/>
      <c r="J653" s="325"/>
      <c r="K653" s="329"/>
      <c r="L653" s="325"/>
      <c r="M653" s="325"/>
    </row>
    <row r="654" spans="8:13" ht="15.75">
      <c r="H654" s="325"/>
      <c r="I654" s="325"/>
      <c r="J654" s="325"/>
      <c r="K654" s="329"/>
      <c r="L654" s="325"/>
      <c r="M654" s="325"/>
    </row>
    <row r="655" spans="8:13" ht="15.75">
      <c r="H655" s="325"/>
      <c r="I655" s="325"/>
      <c r="J655" s="325"/>
      <c r="K655" s="329"/>
      <c r="L655" s="325"/>
      <c r="M655" s="325"/>
    </row>
    <row r="656" spans="8:13" ht="15.75">
      <c r="H656" s="325"/>
      <c r="I656" s="325"/>
      <c r="J656" s="325"/>
      <c r="K656" s="329"/>
      <c r="L656" s="325"/>
      <c r="M656" s="325"/>
    </row>
    <row r="657" spans="8:13" ht="15.75">
      <c r="H657" s="325"/>
      <c r="I657" s="325"/>
      <c r="J657" s="325"/>
      <c r="K657" s="329"/>
      <c r="L657" s="325"/>
      <c r="M657" s="325"/>
    </row>
    <row r="658" spans="8:13" ht="15.75">
      <c r="H658" s="325"/>
      <c r="I658" s="325"/>
      <c r="J658" s="325"/>
      <c r="K658" s="329"/>
      <c r="L658" s="325"/>
      <c r="M658" s="325"/>
    </row>
    <row r="659" spans="8:13" ht="15.75">
      <c r="H659" s="325"/>
      <c r="I659" s="325"/>
      <c r="J659" s="325"/>
      <c r="K659" s="329"/>
      <c r="L659" s="325"/>
      <c r="M659" s="325"/>
    </row>
    <row r="660" spans="8:13" ht="15.75">
      <c r="H660" s="325"/>
      <c r="I660" s="325"/>
      <c r="J660" s="325"/>
      <c r="K660" s="329"/>
      <c r="L660" s="325"/>
      <c r="M660" s="325"/>
    </row>
    <row r="661" spans="8:13" ht="15.75">
      <c r="H661" s="325"/>
      <c r="I661" s="325"/>
      <c r="J661" s="325"/>
      <c r="K661" s="329"/>
      <c r="L661" s="325"/>
      <c r="M661" s="325"/>
    </row>
    <row r="662" spans="8:13" ht="15.75">
      <c r="H662" s="325"/>
      <c r="I662" s="325"/>
      <c r="J662" s="325"/>
      <c r="K662" s="329"/>
      <c r="L662" s="325"/>
      <c r="M662" s="325"/>
    </row>
    <row r="663" spans="8:13" ht="15.75">
      <c r="H663" s="325"/>
      <c r="I663" s="325"/>
      <c r="J663" s="325"/>
      <c r="K663" s="329"/>
      <c r="L663" s="325"/>
      <c r="M663" s="325"/>
    </row>
    <row r="664" spans="8:13" ht="15.75">
      <c r="H664" s="325"/>
      <c r="I664" s="325"/>
      <c r="J664" s="325"/>
      <c r="K664" s="329"/>
      <c r="L664" s="325"/>
      <c r="M664" s="325"/>
    </row>
    <row r="665" spans="8:13" ht="15.75">
      <c r="H665" s="325"/>
      <c r="I665" s="325"/>
      <c r="J665" s="325"/>
      <c r="K665" s="329"/>
      <c r="L665" s="325"/>
      <c r="M665" s="325"/>
    </row>
    <row r="666" spans="8:13" ht="15.75">
      <c r="H666" s="325"/>
      <c r="I666" s="325"/>
      <c r="J666" s="325"/>
      <c r="K666" s="329"/>
      <c r="L666" s="325"/>
      <c r="M666" s="325"/>
    </row>
    <row r="667" spans="8:13" ht="15.75">
      <c r="H667" s="325"/>
      <c r="I667" s="325"/>
      <c r="J667" s="325"/>
      <c r="K667" s="329"/>
      <c r="L667" s="325"/>
      <c r="M667" s="325"/>
    </row>
    <row r="668" spans="8:13" ht="15.75">
      <c r="H668" s="325"/>
      <c r="I668" s="325"/>
      <c r="J668" s="325"/>
      <c r="K668" s="329"/>
      <c r="L668" s="325"/>
      <c r="M668" s="325"/>
    </row>
    <row r="669" spans="8:13" ht="15.75">
      <c r="H669" s="325"/>
      <c r="I669" s="325"/>
      <c r="J669" s="325"/>
      <c r="K669" s="329"/>
      <c r="L669" s="325"/>
      <c r="M669" s="325"/>
    </row>
    <row r="670" spans="8:13" ht="15.75">
      <c r="H670" s="325"/>
      <c r="I670" s="325"/>
      <c r="J670" s="325"/>
      <c r="K670" s="329"/>
      <c r="L670" s="325"/>
      <c r="M670" s="325"/>
    </row>
    <row r="671" spans="8:13" ht="15.75">
      <c r="H671" s="325"/>
      <c r="I671" s="325"/>
      <c r="J671" s="325"/>
      <c r="K671" s="329"/>
      <c r="L671" s="325"/>
      <c r="M671" s="325"/>
    </row>
    <row r="672" spans="8:13" ht="15.75">
      <c r="H672" s="325"/>
      <c r="I672" s="325"/>
      <c r="J672" s="325"/>
      <c r="K672" s="329"/>
      <c r="L672" s="325"/>
      <c r="M672" s="325"/>
    </row>
    <row r="673" spans="8:13" ht="15.75">
      <c r="H673" s="325"/>
      <c r="I673" s="325"/>
      <c r="J673" s="325"/>
      <c r="K673" s="329"/>
      <c r="L673" s="325"/>
      <c r="M673" s="325"/>
    </row>
    <row r="674" spans="8:13" ht="15.75">
      <c r="H674" s="325"/>
      <c r="I674" s="325"/>
      <c r="J674" s="325"/>
      <c r="K674" s="329"/>
      <c r="L674" s="325"/>
      <c r="M674" s="325"/>
    </row>
    <row r="675" spans="8:13" ht="15.75">
      <c r="H675" s="325"/>
      <c r="I675" s="325"/>
      <c r="J675" s="325"/>
      <c r="K675" s="329"/>
      <c r="L675" s="325"/>
      <c r="M675" s="325"/>
    </row>
    <row r="676" spans="8:13" ht="15.75">
      <c r="H676" s="325"/>
      <c r="I676" s="325"/>
      <c r="J676" s="325"/>
      <c r="K676" s="329"/>
      <c r="L676" s="325"/>
      <c r="M676" s="325"/>
    </row>
    <row r="677" spans="8:13" ht="15.75">
      <c r="H677" s="325"/>
      <c r="I677" s="325"/>
      <c r="J677" s="325"/>
      <c r="K677" s="329"/>
      <c r="L677" s="325"/>
      <c r="M677" s="325"/>
    </row>
    <row r="678" spans="8:13" ht="15.75">
      <c r="H678" s="325"/>
      <c r="I678" s="325"/>
      <c r="J678" s="325"/>
      <c r="K678" s="329"/>
      <c r="L678" s="325"/>
      <c r="M678" s="325"/>
    </row>
    <row r="679" spans="8:13" ht="15.75">
      <c r="H679" s="325"/>
      <c r="I679" s="325"/>
      <c r="J679" s="325"/>
      <c r="K679" s="329"/>
      <c r="L679" s="325"/>
      <c r="M679" s="325"/>
    </row>
    <row r="680" spans="8:13" ht="15.75">
      <c r="H680" s="325"/>
      <c r="I680" s="325"/>
      <c r="J680" s="325"/>
      <c r="K680" s="329"/>
      <c r="L680" s="325"/>
      <c r="M680" s="325"/>
    </row>
    <row r="681" spans="8:13" ht="15.75">
      <c r="H681" s="325"/>
      <c r="I681" s="325"/>
      <c r="J681" s="325"/>
      <c r="K681" s="329"/>
      <c r="L681" s="325"/>
      <c r="M681" s="325"/>
    </row>
    <row r="682" spans="8:13" ht="15.75">
      <c r="H682" s="325"/>
      <c r="I682" s="325"/>
      <c r="J682" s="325"/>
      <c r="K682" s="329"/>
      <c r="L682" s="325"/>
      <c r="M682" s="325"/>
    </row>
    <row r="683" spans="8:13" ht="15.75">
      <c r="H683" s="325"/>
      <c r="I683" s="325"/>
      <c r="J683" s="325"/>
      <c r="K683" s="329"/>
      <c r="L683" s="325"/>
      <c r="M683" s="325"/>
    </row>
    <row r="684" spans="8:13" ht="15.75">
      <c r="H684" s="325"/>
      <c r="I684" s="325"/>
      <c r="J684" s="325"/>
      <c r="K684" s="329"/>
      <c r="L684" s="325"/>
      <c r="M684" s="325"/>
    </row>
    <row r="685" spans="8:13" ht="15.75">
      <c r="H685" s="325"/>
      <c r="I685" s="325"/>
      <c r="J685" s="325"/>
      <c r="K685" s="329"/>
      <c r="L685" s="325"/>
      <c r="M685" s="325"/>
    </row>
    <row r="686" spans="8:13" ht="15.75">
      <c r="H686" s="325"/>
      <c r="I686" s="325"/>
      <c r="J686" s="325"/>
      <c r="K686" s="329"/>
      <c r="L686" s="325"/>
      <c r="M686" s="325"/>
    </row>
    <row r="687" spans="8:13" ht="15.75">
      <c r="H687" s="325"/>
      <c r="I687" s="325"/>
      <c r="J687" s="325"/>
      <c r="K687" s="329"/>
      <c r="L687" s="325"/>
      <c r="M687" s="325"/>
    </row>
    <row r="688" spans="8:13" ht="15.75">
      <c r="H688" s="325"/>
      <c r="I688" s="325"/>
      <c r="J688" s="325"/>
      <c r="K688" s="329"/>
      <c r="L688" s="325"/>
      <c r="M688" s="325"/>
    </row>
    <row r="689" spans="8:13" ht="15.75">
      <c r="H689" s="325"/>
      <c r="I689" s="325"/>
      <c r="J689" s="325"/>
      <c r="K689" s="329"/>
      <c r="L689" s="325"/>
      <c r="M689" s="325"/>
    </row>
    <row r="690" spans="8:13" ht="15.75">
      <c r="H690" s="325"/>
      <c r="I690" s="325"/>
      <c r="J690" s="325"/>
      <c r="K690" s="329"/>
      <c r="L690" s="325"/>
      <c r="M690" s="325"/>
    </row>
    <row r="691" spans="8:13" ht="15.75">
      <c r="H691" s="325"/>
      <c r="I691" s="325"/>
      <c r="J691" s="325"/>
      <c r="K691" s="329"/>
      <c r="L691" s="325"/>
      <c r="M691" s="325"/>
    </row>
    <row r="692" spans="8:13" ht="15.75">
      <c r="H692" s="325"/>
      <c r="I692" s="325"/>
      <c r="J692" s="325"/>
      <c r="K692" s="329"/>
      <c r="L692" s="325"/>
      <c r="M692" s="325"/>
    </row>
    <row r="693" spans="8:13" ht="15.75">
      <c r="H693" s="325"/>
      <c r="I693" s="325"/>
      <c r="J693" s="325"/>
      <c r="K693" s="329"/>
      <c r="L693" s="325"/>
      <c r="M693" s="325"/>
    </row>
    <row r="694" spans="8:13" ht="15.75">
      <c r="H694" s="325"/>
      <c r="I694" s="325"/>
      <c r="J694" s="325"/>
      <c r="K694" s="329"/>
      <c r="L694" s="325"/>
      <c r="M694" s="325"/>
    </row>
    <row r="695" spans="8:13" ht="15.75">
      <c r="H695" s="325"/>
      <c r="I695" s="325"/>
      <c r="J695" s="325"/>
      <c r="K695" s="329"/>
      <c r="L695" s="325"/>
      <c r="M695" s="325"/>
    </row>
    <row r="696" spans="8:13" ht="15.75">
      <c r="H696" s="325"/>
      <c r="I696" s="325"/>
      <c r="J696" s="325"/>
      <c r="K696" s="329"/>
      <c r="L696" s="325"/>
      <c r="M696" s="325"/>
    </row>
    <row r="697" spans="8:13" ht="15.75">
      <c r="H697" s="325"/>
      <c r="I697" s="325"/>
      <c r="J697" s="325"/>
      <c r="K697" s="329"/>
      <c r="L697" s="325"/>
      <c r="M697" s="325"/>
    </row>
    <row r="698" spans="8:13" ht="15.75">
      <c r="H698" s="325"/>
      <c r="I698" s="325"/>
      <c r="J698" s="325"/>
      <c r="K698" s="329"/>
      <c r="L698" s="325"/>
      <c r="M698" s="325"/>
    </row>
    <row r="699" spans="8:13" ht="15.75">
      <c r="H699" s="325"/>
      <c r="I699" s="325"/>
      <c r="J699" s="325"/>
      <c r="K699" s="329"/>
      <c r="L699" s="325"/>
      <c r="M699" s="325"/>
    </row>
    <row r="700" spans="8:13" ht="15.75">
      <c r="H700" s="325"/>
      <c r="I700" s="325"/>
      <c r="J700" s="325"/>
      <c r="K700" s="329"/>
      <c r="L700" s="325"/>
      <c r="M700" s="325"/>
    </row>
    <row r="701" spans="8:13" ht="15.75">
      <c r="H701" s="325"/>
      <c r="I701" s="325"/>
      <c r="J701" s="325"/>
      <c r="K701" s="329"/>
      <c r="L701" s="325"/>
      <c r="M701" s="325"/>
    </row>
    <row r="702" spans="8:13" ht="15.75">
      <c r="H702" s="325"/>
      <c r="I702" s="325"/>
      <c r="J702" s="325"/>
      <c r="K702" s="329"/>
      <c r="L702" s="325"/>
      <c r="M702" s="325"/>
    </row>
    <row r="703" spans="8:13" ht="15.75">
      <c r="H703" s="325"/>
      <c r="I703" s="325"/>
      <c r="J703" s="325"/>
      <c r="K703" s="329"/>
      <c r="L703" s="325"/>
      <c r="M703" s="325"/>
    </row>
    <row r="704" spans="8:13" ht="15.75">
      <c r="H704" s="325"/>
      <c r="I704" s="325"/>
      <c r="J704" s="325"/>
      <c r="K704" s="329"/>
      <c r="L704" s="325"/>
      <c r="M704" s="325"/>
    </row>
    <row r="705" spans="8:13" ht="15.75">
      <c r="H705" s="325"/>
      <c r="I705" s="325"/>
      <c r="J705" s="325"/>
      <c r="K705" s="329"/>
      <c r="L705" s="325"/>
      <c r="M705" s="325"/>
    </row>
    <row r="706" spans="8:13" ht="15.75">
      <c r="H706" s="325"/>
      <c r="I706" s="325"/>
      <c r="J706" s="325"/>
      <c r="K706" s="329"/>
      <c r="L706" s="325"/>
      <c r="M706" s="325"/>
    </row>
    <row r="707" spans="8:13" ht="15.75">
      <c r="H707" s="325"/>
      <c r="I707" s="325"/>
      <c r="J707" s="325"/>
      <c r="K707" s="329"/>
      <c r="L707" s="325"/>
      <c r="M707" s="325"/>
    </row>
    <row r="708" spans="8:13" ht="15.75">
      <c r="H708" s="325"/>
      <c r="I708" s="325"/>
      <c r="J708" s="325"/>
      <c r="K708" s="329"/>
      <c r="L708" s="325"/>
      <c r="M708" s="325"/>
    </row>
    <row r="709" spans="8:13" ht="15.75">
      <c r="H709" s="325"/>
      <c r="I709" s="325"/>
      <c r="J709" s="325"/>
      <c r="K709" s="329"/>
      <c r="L709" s="325"/>
      <c r="M709" s="325"/>
    </row>
    <row r="710" spans="8:13" ht="15.75">
      <c r="H710" s="325"/>
      <c r="I710" s="325"/>
      <c r="J710" s="325"/>
      <c r="K710" s="329"/>
      <c r="L710" s="325"/>
      <c r="M710" s="325"/>
    </row>
    <row r="711" spans="8:13" ht="15.75">
      <c r="H711" s="325"/>
      <c r="I711" s="325"/>
      <c r="J711" s="325"/>
      <c r="K711" s="329"/>
      <c r="L711" s="325"/>
      <c r="M711" s="325"/>
    </row>
    <row r="712" spans="8:13" ht="15.75">
      <c r="H712" s="325"/>
      <c r="I712" s="325"/>
      <c r="J712" s="325"/>
      <c r="K712" s="329"/>
      <c r="L712" s="325"/>
      <c r="M712" s="325"/>
    </row>
    <row r="713" spans="8:13" ht="15.75">
      <c r="H713" s="325"/>
      <c r="I713" s="325"/>
      <c r="J713" s="325"/>
      <c r="K713" s="329"/>
      <c r="L713" s="325"/>
      <c r="M713" s="325"/>
    </row>
    <row r="714" spans="8:13" ht="15.75">
      <c r="H714" s="325"/>
      <c r="I714" s="325"/>
      <c r="J714" s="325"/>
      <c r="K714" s="329"/>
      <c r="L714" s="325"/>
      <c r="M714" s="325"/>
    </row>
    <row r="715" spans="8:13" ht="15.75">
      <c r="H715" s="325"/>
      <c r="I715" s="325"/>
      <c r="J715" s="325"/>
      <c r="K715" s="329"/>
      <c r="L715" s="325"/>
      <c r="M715" s="325"/>
    </row>
    <row r="716" spans="8:13" ht="15.75">
      <c r="H716" s="325"/>
      <c r="I716" s="325"/>
      <c r="J716" s="325"/>
      <c r="K716" s="329"/>
      <c r="L716" s="325"/>
      <c r="M716" s="325"/>
    </row>
    <row r="717" spans="8:13" ht="15.75">
      <c r="H717" s="325"/>
      <c r="I717" s="325"/>
      <c r="J717" s="325"/>
      <c r="K717" s="329"/>
      <c r="L717" s="325"/>
      <c r="M717" s="325"/>
    </row>
    <row r="718" spans="8:13" ht="15.75">
      <c r="H718" s="325"/>
      <c r="I718" s="325"/>
      <c r="J718" s="325"/>
      <c r="K718" s="329"/>
      <c r="L718" s="325"/>
      <c r="M718" s="325"/>
    </row>
    <row r="719" spans="8:13" ht="15.75">
      <c r="H719" s="325"/>
      <c r="I719" s="325"/>
      <c r="J719" s="325"/>
      <c r="K719" s="329"/>
      <c r="L719" s="325"/>
      <c r="M719" s="325"/>
    </row>
    <row r="720" spans="8:13" ht="15.75">
      <c r="H720" s="325"/>
      <c r="I720" s="325"/>
      <c r="J720" s="325"/>
      <c r="K720" s="329"/>
      <c r="L720" s="325"/>
      <c r="M720" s="325"/>
    </row>
    <row r="721" spans="8:13" ht="15.75">
      <c r="H721" s="325"/>
      <c r="I721" s="325"/>
      <c r="J721" s="325"/>
      <c r="K721" s="329"/>
      <c r="L721" s="325"/>
      <c r="M721" s="325"/>
    </row>
    <row r="722" spans="8:13" ht="15.75">
      <c r="H722" s="325"/>
      <c r="I722" s="325"/>
      <c r="J722" s="325"/>
      <c r="K722" s="329"/>
      <c r="L722" s="325"/>
      <c r="M722" s="325"/>
    </row>
    <row r="723" spans="8:13" ht="15.75">
      <c r="H723" s="325"/>
      <c r="I723" s="325"/>
      <c r="J723" s="325"/>
      <c r="K723" s="329"/>
      <c r="L723" s="325"/>
      <c r="M723" s="325"/>
    </row>
    <row r="724" spans="8:13" ht="15.75">
      <c r="H724" s="325"/>
      <c r="I724" s="325"/>
      <c r="J724" s="325"/>
      <c r="K724" s="329"/>
      <c r="L724" s="325"/>
      <c r="M724" s="325"/>
    </row>
    <row r="725" spans="8:13" ht="15.75">
      <c r="H725" s="325"/>
      <c r="I725" s="325"/>
      <c r="J725" s="325"/>
      <c r="K725" s="329"/>
      <c r="L725" s="325"/>
      <c r="M725" s="325"/>
    </row>
    <row r="726" spans="8:13" ht="15.75">
      <c r="H726" s="325"/>
      <c r="I726" s="325"/>
      <c r="J726" s="325"/>
      <c r="K726" s="329"/>
      <c r="L726" s="325"/>
      <c r="M726" s="325"/>
    </row>
    <row r="727" spans="8:13" ht="15.75">
      <c r="H727" s="325"/>
      <c r="I727" s="325"/>
      <c r="J727" s="325"/>
      <c r="K727" s="329"/>
      <c r="L727" s="325"/>
      <c r="M727" s="325"/>
    </row>
    <row r="728" spans="8:13" ht="15.75">
      <c r="H728" s="325"/>
      <c r="I728" s="325"/>
      <c r="J728" s="325"/>
      <c r="K728" s="329"/>
      <c r="L728" s="325"/>
      <c r="M728" s="325"/>
    </row>
    <row r="729" spans="8:13" ht="15.75">
      <c r="H729" s="325"/>
      <c r="I729" s="325"/>
      <c r="J729" s="325"/>
      <c r="K729" s="329"/>
      <c r="L729" s="325"/>
      <c r="M729" s="325"/>
    </row>
    <row r="730" spans="8:13" ht="15.75">
      <c r="H730" s="325"/>
      <c r="I730" s="325"/>
      <c r="J730" s="325"/>
      <c r="K730" s="329"/>
      <c r="L730" s="325"/>
      <c r="M730" s="325"/>
    </row>
    <row r="731" spans="8:13" ht="15.75">
      <c r="H731" s="325"/>
      <c r="I731" s="325"/>
      <c r="J731" s="325"/>
      <c r="K731" s="329"/>
      <c r="L731" s="325"/>
      <c r="M731" s="325"/>
    </row>
    <row r="732" spans="8:13" ht="15.75">
      <c r="H732" s="325"/>
      <c r="I732" s="325"/>
      <c r="J732" s="325"/>
      <c r="K732" s="329"/>
      <c r="L732" s="325"/>
      <c r="M732" s="325"/>
    </row>
    <row r="733" spans="8:13" ht="15.75">
      <c r="H733" s="325"/>
      <c r="I733" s="325"/>
      <c r="J733" s="325"/>
      <c r="K733" s="329"/>
      <c r="L733" s="325"/>
      <c r="M733" s="325"/>
    </row>
    <row r="734" spans="8:13" ht="15.75">
      <c r="H734" s="325"/>
      <c r="I734" s="325"/>
      <c r="J734" s="325"/>
      <c r="K734" s="329"/>
      <c r="L734" s="325"/>
      <c r="M734" s="325"/>
    </row>
    <row r="735" spans="8:13" ht="15.75">
      <c r="H735" s="325"/>
      <c r="I735" s="325"/>
      <c r="J735" s="325"/>
      <c r="K735" s="329"/>
      <c r="L735" s="325"/>
      <c r="M735" s="325"/>
    </row>
    <row r="736" spans="8:13" ht="15.75">
      <c r="H736" s="325"/>
      <c r="I736" s="325"/>
      <c r="J736" s="325"/>
      <c r="K736" s="329"/>
      <c r="L736" s="325"/>
      <c r="M736" s="325"/>
    </row>
    <row r="737" spans="8:13" ht="15.75">
      <c r="H737" s="325"/>
      <c r="I737" s="325"/>
      <c r="J737" s="325"/>
      <c r="K737" s="329"/>
      <c r="L737" s="325"/>
      <c r="M737" s="325"/>
    </row>
    <row r="738" spans="8:13" ht="15.75">
      <c r="H738" s="325"/>
      <c r="I738" s="325"/>
      <c r="J738" s="325"/>
      <c r="K738" s="329"/>
      <c r="L738" s="325"/>
      <c r="M738" s="325"/>
    </row>
    <row r="739" spans="8:13" ht="15.75">
      <c r="H739" s="325"/>
      <c r="I739" s="325"/>
      <c r="J739" s="325"/>
      <c r="K739" s="329"/>
      <c r="L739" s="325"/>
      <c r="M739" s="325"/>
    </row>
    <row r="740" spans="8:13" ht="15.75">
      <c r="H740" s="325"/>
      <c r="I740" s="325"/>
      <c r="J740" s="325"/>
      <c r="K740" s="329"/>
      <c r="L740" s="325"/>
      <c r="M740" s="325"/>
    </row>
    <row r="741" spans="8:13" ht="15.75">
      <c r="H741" s="325"/>
      <c r="I741" s="325"/>
      <c r="J741" s="325"/>
      <c r="K741" s="329"/>
      <c r="L741" s="325"/>
      <c r="M741" s="325"/>
    </row>
    <row r="742" spans="8:13" ht="15.75">
      <c r="H742" s="325"/>
      <c r="I742" s="325"/>
      <c r="J742" s="325"/>
      <c r="K742" s="329"/>
      <c r="L742" s="325"/>
      <c r="M742" s="325"/>
    </row>
    <row r="743" spans="8:13" ht="15.75">
      <c r="H743" s="325"/>
      <c r="I743" s="325"/>
      <c r="J743" s="325"/>
      <c r="K743" s="329"/>
      <c r="L743" s="325"/>
      <c r="M743" s="325"/>
    </row>
    <row r="744" spans="8:13" ht="15.75">
      <c r="H744" s="325"/>
      <c r="I744" s="325"/>
      <c r="J744" s="325"/>
      <c r="K744" s="329"/>
      <c r="L744" s="325"/>
      <c r="M744" s="325"/>
    </row>
    <row r="745" spans="8:13" ht="15.75">
      <c r="H745" s="325"/>
      <c r="I745" s="325"/>
      <c r="J745" s="325"/>
      <c r="K745" s="329"/>
      <c r="L745" s="325"/>
      <c r="M745" s="325"/>
    </row>
    <row r="746" spans="8:13" ht="15.75">
      <c r="H746" s="325"/>
      <c r="I746" s="325"/>
      <c r="J746" s="325"/>
      <c r="K746" s="329"/>
      <c r="L746" s="325"/>
      <c r="M746" s="325"/>
    </row>
    <row r="747" spans="8:13" ht="15.75">
      <c r="H747" s="325"/>
      <c r="I747" s="325"/>
      <c r="J747" s="325"/>
      <c r="K747" s="329"/>
      <c r="L747" s="325"/>
      <c r="M747" s="325"/>
    </row>
    <row r="748" spans="8:13" ht="15.75">
      <c r="H748" s="325"/>
      <c r="I748" s="325"/>
      <c r="J748" s="325"/>
      <c r="K748" s="329"/>
      <c r="L748" s="325"/>
      <c r="M748" s="325"/>
    </row>
    <row r="749" spans="8:13" ht="15.75">
      <c r="H749" s="325"/>
      <c r="I749" s="325"/>
      <c r="J749" s="325"/>
      <c r="K749" s="329"/>
      <c r="L749" s="325"/>
      <c r="M749" s="325"/>
    </row>
    <row r="750" spans="8:13" ht="15.75">
      <c r="H750" s="325"/>
      <c r="I750" s="325"/>
      <c r="J750" s="325"/>
      <c r="K750" s="329"/>
      <c r="L750" s="325"/>
      <c r="M750" s="325"/>
    </row>
    <row r="751" spans="8:13" ht="15.75">
      <c r="H751" s="325"/>
      <c r="I751" s="325"/>
      <c r="J751" s="325"/>
      <c r="K751" s="329"/>
      <c r="L751" s="325"/>
      <c r="M751" s="325"/>
    </row>
    <row r="752" spans="8:13" ht="15.75">
      <c r="H752" s="325"/>
      <c r="I752" s="325"/>
      <c r="J752" s="325"/>
      <c r="K752" s="329"/>
      <c r="L752" s="325"/>
      <c r="M752" s="325"/>
    </row>
    <row r="753" spans="8:13" ht="15.75">
      <c r="H753" s="325"/>
      <c r="I753" s="325"/>
      <c r="J753" s="325"/>
      <c r="K753" s="329"/>
      <c r="L753" s="325"/>
      <c r="M753" s="325"/>
    </row>
    <row r="754" spans="8:13" ht="15.75">
      <c r="H754" s="325"/>
      <c r="I754" s="325"/>
      <c r="J754" s="325"/>
      <c r="K754" s="329"/>
      <c r="L754" s="325"/>
      <c r="M754" s="325"/>
    </row>
    <row r="755" spans="8:13" ht="15.75">
      <c r="H755" s="325"/>
      <c r="I755" s="325"/>
      <c r="J755" s="325"/>
      <c r="K755" s="329"/>
      <c r="L755" s="325"/>
      <c r="M755" s="325"/>
    </row>
    <row r="756" spans="8:13" ht="15.75">
      <c r="H756" s="325"/>
      <c r="I756" s="325"/>
      <c r="J756" s="325"/>
      <c r="K756" s="329"/>
      <c r="L756" s="325"/>
      <c r="M756" s="325"/>
    </row>
    <row r="757" spans="8:13" ht="15.75">
      <c r="H757" s="325"/>
      <c r="I757" s="325"/>
      <c r="J757" s="325"/>
      <c r="K757" s="329"/>
      <c r="L757" s="325"/>
      <c r="M757" s="325"/>
    </row>
    <row r="758" spans="8:13" ht="15.75">
      <c r="H758" s="325"/>
      <c r="I758" s="325"/>
      <c r="J758" s="325"/>
      <c r="K758" s="329"/>
      <c r="L758" s="325"/>
      <c r="M758" s="325"/>
    </row>
    <row r="759" spans="8:13" ht="15.75">
      <c r="H759" s="325"/>
      <c r="I759" s="325"/>
      <c r="J759" s="325"/>
      <c r="K759" s="329"/>
      <c r="L759" s="325"/>
      <c r="M759" s="325"/>
    </row>
    <row r="760" spans="8:13" ht="15.75">
      <c r="H760" s="325"/>
      <c r="I760" s="325"/>
      <c r="J760" s="325"/>
      <c r="K760" s="329"/>
      <c r="L760" s="325"/>
      <c r="M760" s="325"/>
    </row>
    <row r="761" spans="8:13" ht="15.75">
      <c r="H761" s="325"/>
      <c r="I761" s="325"/>
      <c r="J761" s="325"/>
      <c r="K761" s="329"/>
      <c r="L761" s="325"/>
      <c r="M761" s="325"/>
    </row>
    <row r="762" spans="8:13" ht="15.75">
      <c r="H762" s="325"/>
      <c r="I762" s="325"/>
      <c r="J762" s="325"/>
      <c r="K762" s="329"/>
      <c r="L762" s="325"/>
      <c r="M762" s="325"/>
    </row>
    <row r="763" spans="8:13" ht="15.75">
      <c r="H763" s="325"/>
      <c r="I763" s="325"/>
      <c r="J763" s="325"/>
      <c r="K763" s="329"/>
      <c r="L763" s="325"/>
      <c r="M763" s="325"/>
    </row>
    <row r="764" spans="8:13" ht="15.75">
      <c r="H764" s="325"/>
      <c r="I764" s="325"/>
      <c r="J764" s="325"/>
      <c r="K764" s="329"/>
      <c r="L764" s="325"/>
      <c r="M764" s="325"/>
    </row>
    <row r="765" spans="8:13" ht="15.75">
      <c r="H765" s="325"/>
      <c r="I765" s="325"/>
      <c r="J765" s="325"/>
      <c r="K765" s="329"/>
      <c r="L765" s="325"/>
      <c r="M765" s="325"/>
    </row>
    <row r="766" spans="8:13" ht="15.75">
      <c r="H766" s="325"/>
      <c r="I766" s="325"/>
      <c r="J766" s="325"/>
      <c r="K766" s="329"/>
      <c r="L766" s="325"/>
      <c r="M766" s="325"/>
    </row>
    <row r="767" spans="8:13" ht="15.75">
      <c r="H767" s="325"/>
      <c r="I767" s="325"/>
      <c r="J767" s="325"/>
      <c r="K767" s="329"/>
      <c r="L767" s="325"/>
      <c r="M767" s="325"/>
    </row>
    <row r="768" spans="8:13" ht="15.75">
      <c r="H768" s="325"/>
      <c r="I768" s="325"/>
      <c r="J768" s="325"/>
      <c r="K768" s="329"/>
      <c r="L768" s="325"/>
      <c r="M768" s="325"/>
    </row>
    <row r="769" spans="8:13" ht="15.75">
      <c r="H769" s="325"/>
      <c r="I769" s="325"/>
      <c r="J769" s="325"/>
      <c r="K769" s="329"/>
      <c r="L769" s="325"/>
      <c r="M769" s="325"/>
    </row>
    <row r="770" spans="8:13" ht="15.75">
      <c r="H770" s="325"/>
      <c r="I770" s="325"/>
      <c r="J770" s="325"/>
      <c r="K770" s="329"/>
      <c r="L770" s="325"/>
      <c r="M770" s="325"/>
    </row>
    <row r="771" spans="8:13" ht="15.75">
      <c r="H771" s="325"/>
      <c r="I771" s="325"/>
      <c r="J771" s="325"/>
      <c r="K771" s="329"/>
      <c r="L771" s="325"/>
      <c r="M771" s="325"/>
    </row>
    <row r="772" spans="8:13" ht="15.75">
      <c r="H772" s="325"/>
      <c r="I772" s="325"/>
      <c r="J772" s="325"/>
      <c r="K772" s="329"/>
      <c r="L772" s="325"/>
      <c r="M772" s="325"/>
    </row>
    <row r="773" spans="8:13" ht="15.75">
      <c r="H773" s="325"/>
      <c r="I773" s="325"/>
      <c r="J773" s="325"/>
      <c r="K773" s="329"/>
      <c r="L773" s="325"/>
      <c r="M773" s="325"/>
    </row>
    <row r="774" spans="8:13" ht="15.75">
      <c r="H774" s="325"/>
      <c r="I774" s="325"/>
      <c r="J774" s="325"/>
      <c r="K774" s="329"/>
      <c r="L774" s="325"/>
      <c r="M774" s="325"/>
    </row>
    <row r="775" spans="8:13" ht="15.75">
      <c r="H775" s="325"/>
      <c r="I775" s="325"/>
      <c r="J775" s="325"/>
      <c r="K775" s="329"/>
      <c r="L775" s="325"/>
      <c r="M775" s="325"/>
    </row>
    <row r="776" spans="8:13" ht="15.75">
      <c r="H776" s="325"/>
      <c r="I776" s="325"/>
      <c r="J776" s="325"/>
      <c r="K776" s="329"/>
      <c r="L776" s="325"/>
      <c r="M776" s="325"/>
    </row>
    <row r="777" spans="8:13" ht="15.75">
      <c r="H777" s="325"/>
      <c r="I777" s="325"/>
      <c r="J777" s="325"/>
      <c r="K777" s="329"/>
      <c r="L777" s="325"/>
      <c r="M777" s="325"/>
    </row>
    <row r="778" spans="8:13" ht="15.75">
      <c r="H778" s="325"/>
      <c r="I778" s="325"/>
      <c r="J778" s="325"/>
      <c r="K778" s="329"/>
      <c r="L778" s="325"/>
      <c r="M778" s="325"/>
    </row>
    <row r="779" spans="8:13" ht="15.75">
      <c r="H779" s="325"/>
      <c r="I779" s="325"/>
      <c r="J779" s="325"/>
      <c r="K779" s="329"/>
      <c r="L779" s="325"/>
      <c r="M779" s="325"/>
    </row>
    <row r="780" spans="8:13" ht="15.75">
      <c r="H780" s="325"/>
      <c r="I780" s="325"/>
      <c r="J780" s="325"/>
      <c r="K780" s="329"/>
      <c r="L780" s="325"/>
      <c r="M780" s="325"/>
    </row>
    <row r="781" spans="8:13" ht="15.75">
      <c r="H781" s="325"/>
      <c r="I781" s="325"/>
      <c r="J781" s="325"/>
      <c r="K781" s="329"/>
      <c r="L781" s="325"/>
      <c r="M781" s="325"/>
    </row>
    <row r="782" spans="8:13" ht="15.75">
      <c r="H782" s="325"/>
      <c r="I782" s="325"/>
      <c r="J782" s="325"/>
      <c r="K782" s="329"/>
      <c r="L782" s="325"/>
      <c r="M782" s="325"/>
    </row>
    <row r="783" spans="8:13" ht="15.75">
      <c r="H783" s="325"/>
      <c r="I783" s="325"/>
      <c r="J783" s="325"/>
      <c r="K783" s="329"/>
      <c r="L783" s="325"/>
      <c r="M783" s="325"/>
    </row>
    <row r="784" spans="8:13" ht="15.75">
      <c r="H784" s="325"/>
      <c r="I784" s="325"/>
      <c r="J784" s="325"/>
      <c r="K784" s="329"/>
      <c r="L784" s="325"/>
      <c r="M784" s="325"/>
    </row>
    <row r="785" spans="8:13" ht="15.75">
      <c r="H785" s="325"/>
      <c r="I785" s="325"/>
      <c r="J785" s="325"/>
      <c r="K785" s="329"/>
      <c r="L785" s="325"/>
      <c r="M785" s="325"/>
    </row>
    <row r="786" spans="8:13" ht="15.75">
      <c r="H786" s="325"/>
      <c r="I786" s="325"/>
      <c r="J786" s="325"/>
      <c r="K786" s="329"/>
      <c r="L786" s="325"/>
      <c r="M786" s="325"/>
    </row>
    <row r="787" spans="8:13" ht="15.75">
      <c r="H787" s="325"/>
      <c r="I787" s="325"/>
      <c r="J787" s="325"/>
      <c r="K787" s="329"/>
      <c r="L787" s="325"/>
      <c r="M787" s="325"/>
    </row>
    <row r="788" spans="8:13" ht="15.75">
      <c r="H788" s="325"/>
      <c r="I788" s="325"/>
      <c r="J788" s="325"/>
      <c r="K788" s="329"/>
      <c r="L788" s="325"/>
      <c r="M788" s="325"/>
    </row>
    <row r="789" spans="8:13" ht="15.75">
      <c r="H789" s="325"/>
      <c r="I789" s="325"/>
      <c r="J789" s="325"/>
      <c r="K789" s="329"/>
      <c r="L789" s="325"/>
      <c r="M789" s="325"/>
    </row>
    <row r="790" spans="8:13" ht="15.75">
      <c r="H790" s="325"/>
      <c r="I790" s="325"/>
      <c r="J790" s="325"/>
      <c r="K790" s="329"/>
      <c r="L790" s="325"/>
      <c r="M790" s="325"/>
    </row>
    <row r="791" spans="8:13" ht="15.75">
      <c r="H791" s="325"/>
      <c r="I791" s="325"/>
      <c r="J791" s="325"/>
      <c r="K791" s="329"/>
      <c r="L791" s="325"/>
      <c r="M791" s="325"/>
    </row>
    <row r="792" spans="8:13" ht="15.75">
      <c r="H792" s="325"/>
      <c r="I792" s="325"/>
      <c r="J792" s="325"/>
      <c r="K792" s="329"/>
      <c r="L792" s="325"/>
      <c r="M792" s="325"/>
    </row>
    <row r="793" spans="8:13" ht="15.75">
      <c r="H793" s="325"/>
      <c r="I793" s="325"/>
      <c r="J793" s="325"/>
      <c r="K793" s="329"/>
      <c r="L793" s="325"/>
      <c r="M793" s="325"/>
    </row>
    <row r="794" spans="8:13" ht="15.75">
      <c r="H794" s="325"/>
      <c r="I794" s="325"/>
      <c r="J794" s="325"/>
      <c r="K794" s="329"/>
      <c r="L794" s="325"/>
      <c r="M794" s="325"/>
    </row>
    <row r="795" spans="8:13" ht="15.75">
      <c r="H795" s="325"/>
      <c r="I795" s="325"/>
      <c r="J795" s="325"/>
      <c r="K795" s="329"/>
      <c r="L795" s="325"/>
      <c r="M795" s="325"/>
    </row>
    <row r="796" spans="8:13" ht="15.75">
      <c r="H796" s="325"/>
      <c r="I796" s="325"/>
      <c r="J796" s="325"/>
      <c r="K796" s="329"/>
      <c r="L796" s="325"/>
      <c r="M796" s="325"/>
    </row>
    <row r="797" spans="8:13" ht="15.75">
      <c r="H797" s="325"/>
      <c r="I797" s="325"/>
      <c r="J797" s="325"/>
      <c r="K797" s="329"/>
      <c r="L797" s="325"/>
      <c r="M797" s="325"/>
    </row>
    <row r="798" spans="8:13" ht="15.75">
      <c r="H798" s="325"/>
      <c r="I798" s="325"/>
      <c r="J798" s="325"/>
      <c r="K798" s="329"/>
      <c r="L798" s="325"/>
      <c r="M798" s="325"/>
    </row>
    <row r="799" spans="8:13" ht="15.75">
      <c r="H799" s="325"/>
      <c r="I799" s="325"/>
      <c r="J799" s="325"/>
      <c r="K799" s="329"/>
      <c r="L799" s="325"/>
      <c r="M799" s="325"/>
    </row>
    <row r="800" spans="8:13" ht="15.75">
      <c r="H800" s="325"/>
      <c r="I800" s="325"/>
      <c r="J800" s="325"/>
      <c r="K800" s="329"/>
      <c r="L800" s="325"/>
      <c r="M800" s="325"/>
    </row>
    <row r="801" spans="8:13" ht="15.75">
      <c r="H801" s="325"/>
      <c r="I801" s="325"/>
      <c r="J801" s="325"/>
      <c r="K801" s="329"/>
      <c r="L801" s="325"/>
      <c r="M801" s="325"/>
    </row>
    <row r="802" spans="8:13" ht="15.75">
      <c r="H802" s="325"/>
      <c r="I802" s="325"/>
      <c r="J802" s="325"/>
      <c r="K802" s="329"/>
      <c r="L802" s="325"/>
      <c r="M802" s="325"/>
    </row>
    <row r="803" spans="8:13" ht="15.75">
      <c r="H803" s="325"/>
      <c r="I803" s="325"/>
      <c r="J803" s="325"/>
      <c r="K803" s="329"/>
      <c r="L803" s="325"/>
      <c r="M803" s="325"/>
    </row>
    <row r="804" spans="8:13" ht="15.75">
      <c r="H804" s="325"/>
      <c r="I804" s="325"/>
      <c r="J804" s="325"/>
      <c r="K804" s="329"/>
      <c r="L804" s="325"/>
      <c r="M804" s="325"/>
    </row>
    <row r="805" spans="8:13" ht="15.75">
      <c r="H805" s="325"/>
      <c r="I805" s="325"/>
      <c r="J805" s="325"/>
      <c r="K805" s="329"/>
      <c r="L805" s="325"/>
      <c r="M805" s="325"/>
    </row>
    <row r="806" spans="8:13" ht="15.75">
      <c r="H806" s="325"/>
      <c r="I806" s="325"/>
      <c r="J806" s="325"/>
      <c r="K806" s="329"/>
      <c r="L806" s="325"/>
      <c r="M806" s="325"/>
    </row>
    <row r="807" spans="8:13" ht="15.75">
      <c r="H807" s="325"/>
      <c r="I807" s="325"/>
      <c r="J807" s="325"/>
      <c r="K807" s="329"/>
      <c r="L807" s="325"/>
      <c r="M807" s="325"/>
    </row>
    <row r="808" spans="8:13" ht="15.75">
      <c r="H808" s="325"/>
      <c r="I808" s="325"/>
      <c r="J808" s="325"/>
      <c r="K808" s="329"/>
      <c r="L808" s="325"/>
      <c r="M808" s="325"/>
    </row>
    <row r="809" spans="8:13" ht="15.75">
      <c r="H809" s="325"/>
      <c r="I809" s="325"/>
      <c r="J809" s="325"/>
      <c r="K809" s="329"/>
      <c r="L809" s="325"/>
      <c r="M809" s="325"/>
    </row>
    <row r="810" spans="8:13" ht="15.75">
      <c r="H810" s="325"/>
      <c r="I810" s="325"/>
      <c r="J810" s="325"/>
      <c r="K810" s="329"/>
      <c r="L810" s="325"/>
      <c r="M810" s="325"/>
    </row>
    <row r="811" spans="8:13" ht="15.75">
      <c r="H811" s="325"/>
      <c r="I811" s="325"/>
      <c r="J811" s="325"/>
      <c r="K811" s="329"/>
      <c r="L811" s="325"/>
      <c r="M811" s="325"/>
    </row>
    <row r="812" spans="8:13" ht="15.75">
      <c r="H812" s="325"/>
      <c r="I812" s="325"/>
      <c r="J812" s="325"/>
      <c r="K812" s="329"/>
      <c r="L812" s="325"/>
      <c r="M812" s="325"/>
    </row>
    <row r="813" spans="8:13" ht="15.75">
      <c r="H813" s="325"/>
      <c r="I813" s="325"/>
      <c r="J813" s="325"/>
      <c r="K813" s="329"/>
      <c r="L813" s="325"/>
      <c r="M813" s="325"/>
    </row>
    <row r="814" spans="8:13" ht="15.75">
      <c r="H814" s="325"/>
      <c r="I814" s="325"/>
      <c r="J814" s="325"/>
      <c r="K814" s="329"/>
      <c r="L814" s="325"/>
      <c r="M814" s="325"/>
    </row>
    <row r="815" spans="8:13" ht="15.75">
      <c r="H815" s="325"/>
      <c r="I815" s="325"/>
      <c r="J815" s="325"/>
      <c r="K815" s="329"/>
      <c r="L815" s="325"/>
      <c r="M815" s="325"/>
    </row>
    <row r="816" spans="8:13" ht="15.75">
      <c r="H816" s="325"/>
      <c r="I816" s="325"/>
      <c r="J816" s="325"/>
      <c r="K816" s="329"/>
      <c r="L816" s="325"/>
      <c r="M816" s="325"/>
    </row>
    <row r="817" spans="8:13" ht="15.75">
      <c r="H817" s="325"/>
      <c r="I817" s="325"/>
      <c r="J817" s="325"/>
      <c r="K817" s="329"/>
      <c r="L817" s="325"/>
      <c r="M817" s="325"/>
    </row>
    <row r="818" spans="8:13" ht="15.75">
      <c r="H818" s="325"/>
      <c r="I818" s="325"/>
      <c r="J818" s="325"/>
      <c r="K818" s="329"/>
      <c r="L818" s="325"/>
      <c r="M818" s="325"/>
    </row>
    <row r="819" spans="8:13" ht="15.75">
      <c r="H819" s="325"/>
      <c r="I819" s="325"/>
      <c r="J819" s="325"/>
      <c r="K819" s="329"/>
      <c r="L819" s="325"/>
      <c r="M819" s="325"/>
    </row>
    <row r="820" spans="8:13" ht="15.75">
      <c r="H820" s="325"/>
      <c r="I820" s="325"/>
      <c r="J820" s="325"/>
      <c r="K820" s="329"/>
      <c r="L820" s="325"/>
      <c r="M820" s="325"/>
    </row>
    <row r="821" spans="8:13" ht="15.75">
      <c r="H821" s="325"/>
      <c r="I821" s="325"/>
      <c r="J821" s="325"/>
      <c r="K821" s="329"/>
      <c r="L821" s="325"/>
      <c r="M821" s="325"/>
    </row>
    <row r="822" spans="8:13" ht="15.75">
      <c r="H822" s="325"/>
      <c r="I822" s="325"/>
      <c r="J822" s="325"/>
      <c r="K822" s="329"/>
      <c r="L822" s="325"/>
      <c r="M822" s="325"/>
    </row>
    <row r="823" spans="8:13" ht="15.75">
      <c r="H823" s="325"/>
      <c r="I823" s="325"/>
      <c r="J823" s="325"/>
      <c r="K823" s="329"/>
      <c r="L823" s="325"/>
      <c r="M823" s="325"/>
    </row>
    <row r="824" spans="8:13" ht="15.75">
      <c r="H824" s="325"/>
      <c r="I824" s="325"/>
      <c r="J824" s="325"/>
      <c r="K824" s="329"/>
      <c r="L824" s="325"/>
      <c r="M824" s="325"/>
    </row>
    <row r="825" spans="8:13" ht="15.75">
      <c r="H825" s="325"/>
      <c r="I825" s="325"/>
      <c r="J825" s="325"/>
      <c r="K825" s="329"/>
      <c r="L825" s="325"/>
      <c r="M825" s="325"/>
    </row>
    <row r="826" spans="8:13" ht="15.75">
      <c r="H826" s="325"/>
      <c r="I826" s="325"/>
      <c r="J826" s="325"/>
      <c r="K826" s="329"/>
      <c r="L826" s="325"/>
      <c r="M826" s="325"/>
    </row>
    <row r="827" spans="8:13" ht="15.75">
      <c r="H827" s="325"/>
      <c r="I827" s="325"/>
      <c r="J827" s="325"/>
      <c r="K827" s="329"/>
      <c r="L827" s="325"/>
      <c r="M827" s="325"/>
    </row>
    <row r="828" spans="8:13" ht="15.75">
      <c r="H828" s="325"/>
      <c r="I828" s="325"/>
      <c r="J828" s="325"/>
      <c r="K828" s="329"/>
      <c r="L828" s="325"/>
      <c r="M828" s="325"/>
    </row>
    <row r="829" spans="8:13" ht="15.75">
      <c r="H829" s="325"/>
      <c r="I829" s="325"/>
      <c r="J829" s="325"/>
      <c r="K829" s="329"/>
      <c r="L829" s="325"/>
      <c r="M829" s="325"/>
    </row>
    <row r="830" spans="8:13" ht="15.75">
      <c r="H830" s="325"/>
      <c r="I830" s="325"/>
      <c r="J830" s="325"/>
      <c r="K830" s="329"/>
      <c r="L830" s="325"/>
      <c r="M830" s="325"/>
    </row>
    <row r="831" spans="8:13" ht="15.75">
      <c r="H831" s="325"/>
      <c r="I831" s="325"/>
      <c r="J831" s="325"/>
      <c r="K831" s="329"/>
      <c r="L831" s="325"/>
      <c r="M831" s="325"/>
    </row>
    <row r="832" spans="8:13" ht="15.75">
      <c r="H832" s="325"/>
      <c r="I832" s="325"/>
      <c r="J832" s="325"/>
      <c r="K832" s="329"/>
      <c r="L832" s="325"/>
      <c r="M832" s="325"/>
    </row>
    <row r="833" spans="8:13" ht="15.75">
      <c r="H833" s="325"/>
      <c r="I833" s="325"/>
      <c r="J833" s="325"/>
      <c r="K833" s="329"/>
      <c r="L833" s="325"/>
      <c r="M833" s="325"/>
    </row>
    <row r="834" spans="8:13" ht="15.75">
      <c r="H834" s="325"/>
      <c r="I834" s="325"/>
      <c r="J834" s="325"/>
      <c r="K834" s="329"/>
      <c r="L834" s="325"/>
      <c r="M834" s="325"/>
    </row>
    <row r="835" spans="8:13" ht="15.75">
      <c r="H835" s="325"/>
      <c r="I835" s="325"/>
      <c r="J835" s="325"/>
      <c r="K835" s="329"/>
      <c r="L835" s="325"/>
      <c r="M835" s="325"/>
    </row>
    <row r="836" spans="8:13" ht="15.75">
      <c r="H836" s="325"/>
      <c r="I836" s="325"/>
      <c r="J836" s="325"/>
      <c r="K836" s="329"/>
      <c r="L836" s="325"/>
      <c r="M836" s="325"/>
    </row>
    <row r="837" spans="8:13" ht="15.75">
      <c r="H837" s="325"/>
      <c r="I837" s="325"/>
      <c r="J837" s="325"/>
      <c r="K837" s="329"/>
      <c r="L837" s="325"/>
      <c r="M837" s="325"/>
    </row>
    <row r="838" spans="8:13" ht="15.75">
      <c r="H838" s="325"/>
      <c r="I838" s="325"/>
      <c r="J838" s="325"/>
      <c r="K838" s="329"/>
      <c r="L838" s="325"/>
      <c r="M838" s="325"/>
    </row>
    <row r="839" spans="8:13" ht="15.75">
      <c r="H839" s="325"/>
      <c r="I839" s="325"/>
      <c r="J839" s="325"/>
      <c r="K839" s="329"/>
      <c r="L839" s="325"/>
      <c r="M839" s="325"/>
    </row>
    <row r="840" spans="8:13" ht="15.75">
      <c r="H840" s="325"/>
      <c r="I840" s="325"/>
      <c r="J840" s="325"/>
      <c r="K840" s="329"/>
      <c r="L840" s="325"/>
      <c r="M840" s="325"/>
    </row>
    <row r="841" spans="8:13" ht="15.75">
      <c r="H841" s="325"/>
      <c r="I841" s="325"/>
      <c r="J841" s="325"/>
      <c r="K841" s="329"/>
      <c r="L841" s="325"/>
      <c r="M841" s="325"/>
    </row>
    <row r="842" spans="8:13" ht="15.75">
      <c r="H842" s="325"/>
      <c r="I842" s="325"/>
      <c r="J842" s="325"/>
      <c r="K842" s="329"/>
      <c r="L842" s="325"/>
      <c r="M842" s="325"/>
    </row>
    <row r="843" spans="8:13" ht="15.75">
      <c r="H843" s="325"/>
      <c r="I843" s="325"/>
      <c r="J843" s="325"/>
      <c r="K843" s="329"/>
      <c r="L843" s="325"/>
      <c r="M843" s="325"/>
    </row>
    <row r="844" spans="8:13" ht="15.75">
      <c r="H844" s="325"/>
      <c r="I844" s="325"/>
      <c r="J844" s="325"/>
      <c r="K844" s="329"/>
      <c r="L844" s="325"/>
      <c r="M844" s="325"/>
    </row>
    <row r="845" spans="8:13" ht="15.75">
      <c r="H845" s="325"/>
      <c r="I845" s="325"/>
      <c r="J845" s="325"/>
      <c r="K845" s="329"/>
      <c r="L845" s="325"/>
      <c r="M845" s="325"/>
    </row>
    <row r="846" spans="8:13" ht="15.75">
      <c r="H846" s="325"/>
      <c r="I846" s="325"/>
      <c r="J846" s="325"/>
      <c r="K846" s="329"/>
      <c r="L846" s="325"/>
      <c r="M846" s="325"/>
    </row>
    <row r="847" spans="8:13" ht="15.75">
      <c r="H847" s="325"/>
      <c r="I847" s="325"/>
      <c r="J847" s="325"/>
      <c r="K847" s="329"/>
      <c r="L847" s="325"/>
      <c r="M847" s="325"/>
    </row>
    <row r="848" spans="8:13" ht="15.75">
      <c r="H848" s="325"/>
      <c r="I848" s="325"/>
      <c r="J848" s="325"/>
      <c r="K848" s="329"/>
      <c r="L848" s="325"/>
      <c r="M848" s="325"/>
    </row>
    <row r="849" spans="8:13" ht="15.75">
      <c r="H849" s="325"/>
      <c r="I849" s="325"/>
      <c r="J849" s="325"/>
      <c r="K849" s="329"/>
      <c r="L849" s="325"/>
      <c r="M849" s="325"/>
    </row>
    <row r="850" spans="8:13" ht="15.75">
      <c r="H850" s="325"/>
      <c r="I850" s="325"/>
      <c r="J850" s="325"/>
      <c r="K850" s="329"/>
      <c r="L850" s="325"/>
      <c r="M850" s="325"/>
    </row>
    <row r="851" spans="8:13" ht="15.75">
      <c r="H851" s="325"/>
      <c r="I851" s="325"/>
      <c r="J851" s="325"/>
      <c r="K851" s="329"/>
      <c r="L851" s="325"/>
      <c r="M851" s="325"/>
    </row>
    <row r="852" spans="8:13" ht="15.75">
      <c r="H852" s="325"/>
      <c r="I852" s="325"/>
      <c r="J852" s="325"/>
      <c r="K852" s="329"/>
      <c r="L852" s="325"/>
      <c r="M852" s="325"/>
    </row>
    <row r="853" spans="8:13" ht="15.75">
      <c r="H853" s="325"/>
      <c r="I853" s="325"/>
      <c r="J853" s="325"/>
      <c r="K853" s="329"/>
      <c r="L853" s="325"/>
      <c r="M853" s="325"/>
    </row>
    <row r="854" spans="8:13" ht="15.75">
      <c r="H854" s="325"/>
      <c r="I854" s="325"/>
      <c r="J854" s="325"/>
      <c r="K854" s="329"/>
      <c r="L854" s="325"/>
      <c r="M854" s="325"/>
    </row>
    <row r="855" spans="8:13" ht="15.75">
      <c r="H855" s="325"/>
      <c r="I855" s="325"/>
      <c r="J855" s="325"/>
      <c r="K855" s="329"/>
      <c r="L855" s="325"/>
      <c r="M855" s="325"/>
    </row>
    <row r="856" spans="8:13" ht="15.75">
      <c r="H856" s="325"/>
      <c r="I856" s="325"/>
      <c r="J856" s="325"/>
      <c r="K856" s="329"/>
      <c r="L856" s="325"/>
      <c r="M856" s="325"/>
    </row>
    <row r="857" spans="8:13" ht="15.75">
      <c r="H857" s="325"/>
      <c r="I857" s="325"/>
      <c r="J857" s="325"/>
      <c r="K857" s="329"/>
      <c r="L857" s="325"/>
      <c r="M857" s="325"/>
    </row>
    <row r="858" spans="8:13" ht="15.75">
      <c r="H858" s="325"/>
      <c r="I858" s="325"/>
      <c r="J858" s="325"/>
      <c r="K858" s="329"/>
      <c r="L858" s="325"/>
      <c r="M858" s="325"/>
    </row>
    <row r="859" spans="8:13" ht="15.75">
      <c r="H859" s="325"/>
      <c r="I859" s="325"/>
      <c r="J859" s="325"/>
      <c r="K859" s="329"/>
      <c r="L859" s="325"/>
      <c r="M859" s="325"/>
    </row>
    <row r="860" spans="8:13" ht="15.75">
      <c r="H860" s="325"/>
      <c r="I860" s="325"/>
      <c r="J860" s="325"/>
      <c r="K860" s="329"/>
      <c r="L860" s="325"/>
      <c r="M860" s="325"/>
    </row>
    <row r="861" spans="8:13" ht="15.75">
      <c r="H861" s="325"/>
      <c r="I861" s="325"/>
      <c r="J861" s="325"/>
      <c r="K861" s="329"/>
      <c r="L861" s="325"/>
      <c r="M861" s="325"/>
    </row>
    <row r="862" spans="8:13" ht="15.75">
      <c r="H862" s="325"/>
      <c r="I862" s="325"/>
      <c r="J862" s="325"/>
      <c r="K862" s="329"/>
      <c r="L862" s="325"/>
      <c r="M862" s="325"/>
    </row>
    <row r="863" spans="8:13" ht="15.75">
      <c r="H863" s="325"/>
      <c r="I863" s="325"/>
      <c r="J863" s="325"/>
      <c r="K863" s="329"/>
      <c r="L863" s="325"/>
      <c r="M863" s="325"/>
    </row>
    <row r="864" spans="8:13" ht="15.75">
      <c r="H864" s="325"/>
      <c r="I864" s="325"/>
      <c r="J864" s="325"/>
      <c r="K864" s="329"/>
      <c r="L864" s="325"/>
      <c r="M864" s="325"/>
    </row>
    <row r="865" spans="8:13" ht="15.75">
      <c r="H865" s="325"/>
      <c r="I865" s="325"/>
      <c r="J865" s="325"/>
      <c r="K865" s="329"/>
      <c r="L865" s="325"/>
      <c r="M865" s="325"/>
    </row>
    <row r="866" spans="8:13" ht="15.75">
      <c r="H866" s="325"/>
      <c r="I866" s="325"/>
      <c r="J866" s="325"/>
      <c r="K866" s="329"/>
      <c r="L866" s="325"/>
      <c r="M866" s="325"/>
    </row>
    <row r="867" spans="8:13" ht="15.75">
      <c r="H867" s="325"/>
      <c r="I867" s="325"/>
      <c r="J867" s="325"/>
      <c r="K867" s="329"/>
      <c r="L867" s="325"/>
      <c r="M867" s="325"/>
    </row>
    <row r="868" spans="8:13" ht="15.75">
      <c r="H868" s="325"/>
      <c r="I868" s="325"/>
      <c r="J868" s="325"/>
      <c r="K868" s="329"/>
      <c r="L868" s="325"/>
      <c r="M868" s="325"/>
    </row>
    <row r="869" spans="8:13" ht="15.75">
      <c r="H869" s="325"/>
      <c r="I869" s="325"/>
      <c r="J869" s="325"/>
      <c r="K869" s="329"/>
      <c r="L869" s="325"/>
      <c r="M869" s="325"/>
    </row>
    <row r="870" spans="8:13" ht="15.75">
      <c r="H870" s="325"/>
      <c r="I870" s="325"/>
      <c r="J870" s="325"/>
      <c r="K870" s="329"/>
      <c r="L870" s="325"/>
      <c r="M870" s="325"/>
    </row>
    <row r="871" spans="8:13" ht="15.75">
      <c r="H871" s="325"/>
      <c r="I871" s="325"/>
      <c r="J871" s="325"/>
      <c r="K871" s="329"/>
      <c r="L871" s="325"/>
      <c r="M871" s="325"/>
    </row>
    <row r="872" spans="8:13" ht="15.75">
      <c r="H872" s="325"/>
      <c r="I872" s="325"/>
      <c r="J872" s="325"/>
      <c r="K872" s="329"/>
      <c r="L872" s="325"/>
      <c r="M872" s="325"/>
    </row>
    <row r="873" spans="8:13" ht="15.75">
      <c r="H873" s="325"/>
      <c r="I873" s="325"/>
      <c r="J873" s="325"/>
      <c r="K873" s="329"/>
      <c r="L873" s="325"/>
      <c r="M873" s="325"/>
    </row>
    <row r="874" spans="8:13" ht="15.75">
      <c r="H874" s="325"/>
      <c r="I874" s="325"/>
      <c r="J874" s="325"/>
      <c r="K874" s="329"/>
      <c r="L874" s="325"/>
      <c r="M874" s="325"/>
    </row>
    <row r="875" spans="8:13" ht="15.75">
      <c r="H875" s="325"/>
      <c r="I875" s="325"/>
      <c r="J875" s="325"/>
      <c r="K875" s="329"/>
      <c r="L875" s="325"/>
      <c r="M875" s="325"/>
    </row>
    <row r="876" spans="8:13" ht="15.75">
      <c r="H876" s="325"/>
      <c r="I876" s="325"/>
      <c r="J876" s="325"/>
      <c r="K876" s="329"/>
      <c r="L876" s="325"/>
      <c r="M876" s="325"/>
    </row>
    <row r="877" spans="8:13" ht="15.75">
      <c r="H877" s="325"/>
      <c r="I877" s="325"/>
      <c r="J877" s="325"/>
      <c r="K877" s="329"/>
      <c r="L877" s="325"/>
      <c r="M877" s="325"/>
    </row>
    <row r="878" spans="8:13" ht="15.75">
      <c r="H878" s="325"/>
      <c r="I878" s="325"/>
      <c r="J878" s="325"/>
      <c r="K878" s="329"/>
      <c r="L878" s="325"/>
      <c r="M878" s="325"/>
    </row>
    <row r="879" spans="8:13" ht="15.75">
      <c r="H879" s="325"/>
      <c r="I879" s="325"/>
      <c r="J879" s="325"/>
      <c r="K879" s="329"/>
      <c r="L879" s="325"/>
      <c r="M879" s="325"/>
    </row>
    <row r="880" spans="8:13" ht="15.75">
      <c r="H880" s="325"/>
      <c r="I880" s="325"/>
      <c r="J880" s="325"/>
      <c r="K880" s="329"/>
      <c r="L880" s="325"/>
      <c r="M880" s="325"/>
    </row>
    <row r="881" spans="8:13" ht="15.75">
      <c r="H881" s="325"/>
      <c r="I881" s="325"/>
      <c r="J881" s="325"/>
      <c r="K881" s="329"/>
      <c r="L881" s="325"/>
      <c r="M881" s="325"/>
    </row>
    <row r="882" spans="8:13" ht="15.75">
      <c r="H882" s="325"/>
      <c r="I882" s="325"/>
      <c r="J882" s="325"/>
      <c r="K882" s="329"/>
      <c r="L882" s="325"/>
      <c r="M882" s="325"/>
    </row>
    <row r="883" spans="8:13" ht="15.75">
      <c r="H883" s="325"/>
      <c r="I883" s="325"/>
      <c r="J883" s="325"/>
      <c r="K883" s="329"/>
      <c r="L883" s="325"/>
      <c r="M883" s="325"/>
    </row>
    <row r="884" spans="8:13" ht="15.75">
      <c r="H884" s="325"/>
      <c r="I884" s="325"/>
      <c r="J884" s="325"/>
      <c r="K884" s="329"/>
      <c r="L884" s="325"/>
      <c r="M884" s="325"/>
    </row>
    <row r="885" spans="8:13" ht="15.75">
      <c r="H885" s="325"/>
      <c r="I885" s="325"/>
      <c r="J885" s="325"/>
      <c r="K885" s="329"/>
      <c r="L885" s="325"/>
      <c r="M885" s="325"/>
    </row>
    <row r="886" spans="8:13" ht="15.75">
      <c r="H886" s="325"/>
      <c r="I886" s="325"/>
      <c r="J886" s="325"/>
      <c r="K886" s="329"/>
      <c r="L886" s="325"/>
      <c r="M886" s="325"/>
    </row>
    <row r="887" spans="8:13" ht="15.75">
      <c r="H887" s="325"/>
      <c r="I887" s="325"/>
      <c r="J887" s="325"/>
      <c r="K887" s="329"/>
      <c r="L887" s="325"/>
      <c r="M887" s="325"/>
    </row>
    <row r="888" spans="8:13" ht="15.75">
      <c r="H888" s="325"/>
      <c r="I888" s="325"/>
      <c r="J888" s="325"/>
      <c r="K888" s="329"/>
      <c r="L888" s="325"/>
      <c r="M888" s="325"/>
    </row>
    <row r="889" spans="8:13" ht="15.75">
      <c r="H889" s="325"/>
      <c r="I889" s="325"/>
      <c r="J889" s="325"/>
      <c r="K889" s="329"/>
      <c r="L889" s="325"/>
      <c r="M889" s="325"/>
    </row>
    <row r="890" spans="8:13" ht="15.75">
      <c r="H890" s="325"/>
      <c r="I890" s="325"/>
      <c r="J890" s="325"/>
      <c r="K890" s="329"/>
      <c r="L890" s="325"/>
      <c r="M890" s="325"/>
    </row>
    <row r="891" spans="8:13" ht="15.75">
      <c r="H891" s="325"/>
      <c r="I891" s="325"/>
      <c r="J891" s="325"/>
      <c r="K891" s="329"/>
      <c r="L891" s="325"/>
      <c r="M891" s="325"/>
    </row>
    <row r="892" spans="8:13" ht="15.75">
      <c r="H892" s="325"/>
      <c r="I892" s="325"/>
      <c r="J892" s="325"/>
      <c r="K892" s="329"/>
      <c r="L892" s="325"/>
      <c r="M892" s="325"/>
    </row>
    <row r="893" spans="8:13" ht="15.75">
      <c r="H893" s="325"/>
      <c r="I893" s="325"/>
      <c r="J893" s="325"/>
      <c r="K893" s="329"/>
      <c r="L893" s="325"/>
      <c r="M893" s="325"/>
    </row>
    <row r="894" spans="8:13" ht="15.75">
      <c r="H894" s="325"/>
      <c r="I894" s="325"/>
      <c r="J894" s="325"/>
      <c r="K894" s="329"/>
      <c r="L894" s="325"/>
      <c r="M894" s="325"/>
    </row>
    <row r="895" spans="8:13" ht="15.75">
      <c r="H895" s="325"/>
      <c r="I895" s="325"/>
      <c r="J895" s="325"/>
      <c r="K895" s="329"/>
      <c r="L895" s="325"/>
      <c r="M895" s="325"/>
    </row>
    <row r="896" spans="8:13" ht="15.75">
      <c r="H896" s="325"/>
      <c r="I896" s="325"/>
      <c r="J896" s="325"/>
      <c r="K896" s="329"/>
      <c r="L896" s="325"/>
      <c r="M896" s="325"/>
    </row>
    <row r="897" spans="8:13" ht="15.75">
      <c r="H897" s="325"/>
      <c r="I897" s="325"/>
      <c r="J897" s="325"/>
      <c r="K897" s="329"/>
      <c r="L897" s="325"/>
      <c r="M897" s="325"/>
    </row>
    <row r="898" spans="8:13" ht="15.75">
      <c r="H898" s="325"/>
      <c r="I898" s="325"/>
      <c r="J898" s="325"/>
      <c r="K898" s="329"/>
      <c r="L898" s="325"/>
      <c r="M898" s="325"/>
    </row>
    <row r="899" spans="8:13" ht="15.75">
      <c r="H899" s="325"/>
      <c r="I899" s="325"/>
      <c r="J899" s="325"/>
      <c r="K899" s="329"/>
      <c r="L899" s="325"/>
      <c r="M899" s="325"/>
    </row>
    <row r="900" spans="8:13" ht="15.75">
      <c r="H900" s="325"/>
      <c r="I900" s="325"/>
      <c r="J900" s="325"/>
      <c r="K900" s="329"/>
      <c r="L900" s="325"/>
      <c r="M900" s="325"/>
    </row>
    <row r="901" spans="8:13" ht="15.75">
      <c r="H901" s="325"/>
      <c r="I901" s="325"/>
      <c r="J901" s="325"/>
      <c r="K901" s="329"/>
      <c r="L901" s="325"/>
      <c r="M901" s="325"/>
    </row>
    <row r="902" spans="8:13" ht="15.75">
      <c r="H902" s="325"/>
      <c r="I902" s="325"/>
      <c r="J902" s="325"/>
      <c r="K902" s="329"/>
      <c r="L902" s="325"/>
      <c r="M902" s="325"/>
    </row>
    <row r="903" spans="8:13" ht="15.75">
      <c r="H903" s="325"/>
      <c r="I903" s="325"/>
      <c r="J903" s="325"/>
      <c r="K903" s="329"/>
      <c r="L903" s="325"/>
      <c r="M903" s="325"/>
    </row>
    <row r="904" spans="8:13" ht="15.75">
      <c r="H904" s="325"/>
      <c r="I904" s="325"/>
      <c r="J904" s="325"/>
      <c r="K904" s="329"/>
      <c r="L904" s="325"/>
      <c r="M904" s="325"/>
    </row>
    <row r="905" spans="8:13" ht="15.75">
      <c r="H905" s="325"/>
      <c r="I905" s="325"/>
      <c r="J905" s="325"/>
      <c r="K905" s="329"/>
      <c r="L905" s="325"/>
      <c r="M905" s="325"/>
    </row>
    <row r="906" spans="8:13" ht="15.75">
      <c r="H906" s="325"/>
      <c r="I906" s="325"/>
      <c r="J906" s="325"/>
      <c r="K906" s="329"/>
      <c r="L906" s="325"/>
      <c r="M906" s="325"/>
    </row>
    <row r="907" spans="8:13" ht="15.75">
      <c r="H907" s="325"/>
      <c r="I907" s="325"/>
      <c r="J907" s="325"/>
      <c r="K907" s="329"/>
      <c r="L907" s="325"/>
      <c r="M907" s="325"/>
    </row>
    <row r="908" spans="8:13" ht="15.75">
      <c r="H908" s="325"/>
      <c r="I908" s="325"/>
      <c r="J908" s="325"/>
      <c r="K908" s="329"/>
      <c r="L908" s="325"/>
      <c r="M908" s="325"/>
    </row>
    <row r="909" spans="8:13" ht="15.75">
      <c r="H909" s="325"/>
      <c r="I909" s="325"/>
      <c r="J909" s="325"/>
      <c r="K909" s="329"/>
      <c r="L909" s="325"/>
      <c r="M909" s="325"/>
    </row>
    <row r="910" spans="8:13" ht="15.75">
      <c r="H910" s="325"/>
      <c r="I910" s="325"/>
      <c r="J910" s="325"/>
      <c r="K910" s="329"/>
      <c r="L910" s="325"/>
      <c r="M910" s="325"/>
    </row>
    <row r="911" spans="8:13" ht="15.75">
      <c r="H911" s="325"/>
      <c r="I911" s="325"/>
      <c r="J911" s="325"/>
      <c r="K911" s="329"/>
      <c r="L911" s="325"/>
      <c r="M911" s="325"/>
    </row>
    <row r="912" spans="8:13" ht="15.75">
      <c r="H912" s="325"/>
      <c r="I912" s="325"/>
      <c r="J912" s="325"/>
      <c r="K912" s="329"/>
      <c r="L912" s="325"/>
      <c r="M912" s="325"/>
    </row>
    <row r="913" spans="8:13" ht="15.75">
      <c r="H913" s="325"/>
      <c r="I913" s="325"/>
      <c r="J913" s="325"/>
      <c r="K913" s="329"/>
      <c r="L913" s="325"/>
      <c r="M913" s="325"/>
    </row>
    <row r="914" spans="8:13" ht="15.75">
      <c r="H914" s="325"/>
      <c r="I914" s="325"/>
      <c r="J914" s="325"/>
      <c r="K914" s="329"/>
      <c r="L914" s="325"/>
      <c r="M914" s="325"/>
    </row>
    <row r="915" spans="8:13" ht="15.75">
      <c r="H915" s="325"/>
      <c r="I915" s="325"/>
      <c r="J915" s="325"/>
      <c r="K915" s="329"/>
      <c r="L915" s="325"/>
      <c r="M915" s="325"/>
    </row>
    <row r="916" spans="8:13" ht="15.75">
      <c r="H916" s="325"/>
      <c r="I916" s="325"/>
      <c r="J916" s="325"/>
      <c r="K916" s="329"/>
      <c r="L916" s="325"/>
      <c r="M916" s="325"/>
    </row>
    <row r="917" spans="8:13" ht="15.75">
      <c r="H917" s="325"/>
      <c r="I917" s="325"/>
      <c r="J917" s="325"/>
      <c r="K917" s="329"/>
      <c r="L917" s="325"/>
      <c r="M917" s="325"/>
    </row>
    <row r="918" spans="8:13" ht="15.75">
      <c r="H918" s="325"/>
      <c r="I918" s="325"/>
      <c r="J918" s="325"/>
      <c r="K918" s="329"/>
      <c r="L918" s="325"/>
      <c r="M918" s="325"/>
    </row>
    <row r="919" spans="8:13" ht="15.75">
      <c r="H919" s="325"/>
      <c r="I919" s="325"/>
      <c r="J919" s="325"/>
      <c r="K919" s="329"/>
      <c r="L919" s="325"/>
      <c r="M919" s="325"/>
    </row>
    <row r="920" spans="8:13" ht="15.75">
      <c r="H920" s="325"/>
      <c r="I920" s="325"/>
      <c r="J920" s="325"/>
      <c r="K920" s="329"/>
      <c r="L920" s="325"/>
      <c r="M920" s="325"/>
    </row>
    <row r="921" spans="8:13" ht="15.75">
      <c r="H921" s="325"/>
      <c r="I921" s="325"/>
      <c r="J921" s="325"/>
      <c r="K921" s="329"/>
      <c r="L921" s="325"/>
      <c r="M921" s="325"/>
    </row>
    <row r="922" spans="8:13" ht="15.75">
      <c r="H922" s="325"/>
      <c r="I922" s="325"/>
      <c r="J922" s="325"/>
      <c r="K922" s="329"/>
      <c r="L922" s="325"/>
      <c r="M922" s="325"/>
    </row>
    <row r="923" spans="8:13" ht="15.75">
      <c r="H923" s="325"/>
      <c r="I923" s="325"/>
      <c r="J923" s="325"/>
      <c r="K923" s="329"/>
      <c r="L923" s="325"/>
      <c r="M923" s="325"/>
    </row>
    <row r="924" spans="8:13" ht="15.75">
      <c r="H924" s="325"/>
      <c r="I924" s="325"/>
      <c r="J924" s="325"/>
      <c r="K924" s="329"/>
      <c r="L924" s="325"/>
      <c r="M924" s="325"/>
    </row>
    <row r="925" spans="8:13" ht="15.75">
      <c r="H925" s="325"/>
      <c r="I925" s="325"/>
      <c r="J925" s="325"/>
      <c r="K925" s="329"/>
      <c r="L925" s="325"/>
      <c r="M925" s="325"/>
    </row>
    <row r="926" spans="8:13" ht="15.75">
      <c r="H926" s="325"/>
      <c r="I926" s="325"/>
      <c r="J926" s="325"/>
      <c r="K926" s="329"/>
      <c r="L926" s="325"/>
      <c r="M926" s="325"/>
    </row>
    <row r="927" spans="8:13" ht="15.75">
      <c r="H927" s="325"/>
      <c r="I927" s="325"/>
      <c r="J927" s="325"/>
      <c r="K927" s="329"/>
      <c r="L927" s="325"/>
      <c r="M927" s="325"/>
    </row>
    <row r="928" spans="8:13" ht="15.75">
      <c r="H928" s="325"/>
      <c r="I928" s="325"/>
      <c r="J928" s="325"/>
      <c r="K928" s="329"/>
      <c r="L928" s="325"/>
      <c r="M928" s="325"/>
    </row>
    <row r="929" spans="8:13" ht="15.75">
      <c r="H929" s="325"/>
      <c r="I929" s="325"/>
      <c r="J929" s="325"/>
      <c r="K929" s="329"/>
      <c r="L929" s="325"/>
      <c r="M929" s="325"/>
    </row>
    <row r="930" spans="8:13" ht="15.75">
      <c r="H930" s="325"/>
      <c r="I930" s="325"/>
      <c r="J930" s="325"/>
      <c r="K930" s="329"/>
      <c r="L930" s="325"/>
      <c r="M930" s="325"/>
    </row>
    <row r="931" spans="8:13" ht="15.75">
      <c r="H931" s="325"/>
      <c r="I931" s="325"/>
      <c r="J931" s="325"/>
      <c r="K931" s="329"/>
      <c r="L931" s="325"/>
      <c r="M931" s="325"/>
    </row>
    <row r="932" spans="8:13" ht="15.75">
      <c r="H932" s="325"/>
      <c r="I932" s="325"/>
      <c r="J932" s="325"/>
      <c r="K932" s="329"/>
      <c r="L932" s="325"/>
      <c r="M932" s="325"/>
    </row>
    <row r="933" spans="8:13" ht="15.75">
      <c r="H933" s="325"/>
      <c r="I933" s="325"/>
      <c r="J933" s="325"/>
      <c r="K933" s="329"/>
      <c r="L933" s="325"/>
      <c r="M933" s="325"/>
    </row>
    <row r="934" spans="8:13" ht="15.75">
      <c r="H934" s="325"/>
      <c r="I934" s="325"/>
      <c r="J934" s="325"/>
      <c r="K934" s="329"/>
      <c r="L934" s="325"/>
      <c r="M934" s="325"/>
    </row>
    <row r="935" spans="8:13" ht="15.75">
      <c r="H935" s="325"/>
      <c r="I935" s="325"/>
      <c r="J935" s="325"/>
      <c r="K935" s="329"/>
      <c r="L935" s="325"/>
      <c r="M935" s="325"/>
    </row>
    <row r="936" spans="8:13" ht="15.75">
      <c r="H936" s="325"/>
      <c r="I936" s="325"/>
      <c r="J936" s="325"/>
      <c r="K936" s="329"/>
      <c r="L936" s="325"/>
      <c r="M936" s="325"/>
    </row>
    <row r="937" spans="8:13" ht="15.75">
      <c r="H937" s="325"/>
      <c r="I937" s="325"/>
      <c r="J937" s="325"/>
      <c r="K937" s="329"/>
      <c r="L937" s="325"/>
      <c r="M937" s="325"/>
    </row>
    <row r="938" spans="8:13" ht="15.75">
      <c r="H938" s="325"/>
      <c r="I938" s="325"/>
      <c r="J938" s="325"/>
      <c r="K938" s="329"/>
      <c r="L938" s="325"/>
      <c r="M938" s="325"/>
    </row>
    <row r="939" spans="8:13" ht="15.75">
      <c r="H939" s="325"/>
      <c r="I939" s="325"/>
      <c r="J939" s="325"/>
      <c r="K939" s="329"/>
      <c r="L939" s="325"/>
      <c r="M939" s="325"/>
    </row>
    <row r="940" spans="8:13" ht="15.75">
      <c r="H940" s="325"/>
      <c r="I940" s="325"/>
      <c r="J940" s="325"/>
      <c r="K940" s="329"/>
      <c r="L940" s="325"/>
      <c r="M940" s="325"/>
    </row>
    <row r="941" spans="8:13" ht="15.75">
      <c r="H941" s="325"/>
      <c r="I941" s="325"/>
      <c r="J941" s="325"/>
      <c r="K941" s="329"/>
      <c r="L941" s="325"/>
      <c r="M941" s="325"/>
    </row>
    <row r="942" spans="8:13" ht="15.75">
      <c r="H942" s="325"/>
      <c r="I942" s="325"/>
      <c r="J942" s="325"/>
      <c r="K942" s="329"/>
      <c r="L942" s="325"/>
      <c r="M942" s="325"/>
    </row>
    <row r="943" spans="8:13" ht="15.75">
      <c r="H943" s="325"/>
      <c r="I943" s="325"/>
      <c r="J943" s="325"/>
      <c r="K943" s="329"/>
      <c r="L943" s="325"/>
      <c r="M943" s="325"/>
    </row>
    <row r="944" spans="8:13" ht="15.75">
      <c r="H944" s="325"/>
      <c r="I944" s="325"/>
      <c r="J944" s="325"/>
      <c r="K944" s="329"/>
      <c r="L944" s="325"/>
      <c r="M944" s="325"/>
    </row>
    <row r="945" spans="8:13" ht="15.75">
      <c r="H945" s="325"/>
      <c r="I945" s="325"/>
      <c r="J945" s="325"/>
      <c r="K945" s="329"/>
      <c r="L945" s="325"/>
      <c r="M945" s="325"/>
    </row>
    <row r="946" spans="8:13" ht="15.75">
      <c r="H946" s="325"/>
      <c r="I946" s="325"/>
      <c r="J946" s="325"/>
      <c r="K946" s="329"/>
      <c r="L946" s="325"/>
      <c r="M946" s="325"/>
    </row>
    <row r="947" spans="8:13" ht="15.75">
      <c r="H947" s="325"/>
      <c r="I947" s="325"/>
      <c r="J947" s="325"/>
      <c r="K947" s="329"/>
      <c r="L947" s="325"/>
      <c r="M947" s="325"/>
    </row>
    <row r="948" spans="8:13" ht="15.75">
      <c r="H948" s="325"/>
      <c r="I948" s="325"/>
      <c r="J948" s="325"/>
      <c r="K948" s="329"/>
      <c r="L948" s="325"/>
      <c r="M948" s="325"/>
    </row>
    <row r="949" spans="8:13" ht="15.75">
      <c r="H949" s="325"/>
      <c r="I949" s="325"/>
      <c r="J949" s="325"/>
      <c r="K949" s="329"/>
      <c r="L949" s="325"/>
      <c r="M949" s="325"/>
    </row>
    <row r="950" spans="8:13" ht="15.75">
      <c r="H950" s="325"/>
      <c r="I950" s="325"/>
      <c r="J950" s="325"/>
      <c r="K950" s="329"/>
      <c r="L950" s="325"/>
      <c r="M950" s="325"/>
    </row>
    <row r="951" spans="8:13" ht="15.75">
      <c r="H951" s="325"/>
      <c r="I951" s="325"/>
      <c r="J951" s="325"/>
      <c r="K951" s="329"/>
      <c r="L951" s="325"/>
      <c r="M951" s="325"/>
    </row>
    <row r="952" spans="8:13" ht="15.75">
      <c r="H952" s="325"/>
      <c r="I952" s="325"/>
      <c r="J952" s="325"/>
      <c r="K952" s="329"/>
      <c r="L952" s="325"/>
      <c r="M952" s="325"/>
    </row>
    <row r="953" spans="8:13" ht="15.75">
      <c r="H953" s="325"/>
      <c r="I953" s="325"/>
      <c r="J953" s="325"/>
      <c r="K953" s="329"/>
      <c r="L953" s="325"/>
      <c r="M953" s="325"/>
    </row>
    <row r="954" spans="8:13" ht="15.75">
      <c r="H954" s="325"/>
      <c r="I954" s="325"/>
      <c r="J954" s="325"/>
      <c r="K954" s="329"/>
      <c r="L954" s="325"/>
      <c r="M954" s="325"/>
    </row>
    <row r="955" spans="8:13" ht="15.75">
      <c r="H955" s="325"/>
      <c r="I955" s="325"/>
      <c r="J955" s="325"/>
      <c r="K955" s="329"/>
      <c r="L955" s="325"/>
      <c r="M955" s="325"/>
    </row>
    <row r="956" spans="8:13" ht="15.75">
      <c r="H956" s="325"/>
      <c r="I956" s="325"/>
      <c r="J956" s="325"/>
      <c r="K956" s="329"/>
      <c r="L956" s="325"/>
      <c r="M956" s="325"/>
    </row>
    <row r="957" spans="8:13" ht="15.75">
      <c r="H957" s="325"/>
      <c r="I957" s="325"/>
      <c r="J957" s="325"/>
      <c r="K957" s="329"/>
      <c r="L957" s="325"/>
      <c r="M957" s="325"/>
    </row>
    <row r="958" spans="8:13" ht="15.75">
      <c r="H958" s="325"/>
      <c r="I958" s="325"/>
      <c r="J958" s="325"/>
      <c r="K958" s="329"/>
      <c r="L958" s="325"/>
      <c r="M958" s="325"/>
    </row>
    <row r="959" spans="8:13" ht="15.75">
      <c r="H959" s="325"/>
      <c r="I959" s="325"/>
      <c r="J959" s="325"/>
      <c r="K959" s="329"/>
      <c r="L959" s="325"/>
      <c r="M959" s="325"/>
    </row>
    <row r="960" spans="8:13" ht="15.75">
      <c r="H960" s="325"/>
      <c r="I960" s="325"/>
      <c r="J960" s="325"/>
      <c r="K960" s="329"/>
      <c r="L960" s="325"/>
      <c r="M960" s="325"/>
    </row>
    <row r="961" spans="8:13" ht="15.75">
      <c r="H961" s="325"/>
      <c r="I961" s="325"/>
      <c r="J961" s="325"/>
      <c r="K961" s="329"/>
      <c r="L961" s="325"/>
      <c r="M961" s="325"/>
    </row>
    <row r="962" spans="8:13" ht="15.75">
      <c r="H962" s="325"/>
      <c r="I962" s="325"/>
      <c r="J962" s="325"/>
      <c r="K962" s="329"/>
      <c r="L962" s="325"/>
      <c r="M962" s="325"/>
    </row>
    <row r="963" spans="8:13" ht="15.75">
      <c r="H963" s="325"/>
      <c r="I963" s="325"/>
      <c r="J963" s="325"/>
      <c r="K963" s="329"/>
      <c r="L963" s="325"/>
      <c r="M963" s="325"/>
    </row>
    <row r="964" spans="8:13" ht="15.75">
      <c r="H964" s="325"/>
      <c r="I964" s="325"/>
      <c r="J964" s="325"/>
      <c r="K964" s="329"/>
      <c r="L964" s="325"/>
      <c r="M964" s="325"/>
    </row>
    <row r="965" spans="8:13" ht="15.75">
      <c r="H965" s="325"/>
      <c r="I965" s="325"/>
      <c r="J965" s="325"/>
      <c r="K965" s="329"/>
      <c r="L965" s="325"/>
      <c r="M965" s="325"/>
    </row>
    <row r="966" spans="8:13" ht="15.75">
      <c r="H966" s="325"/>
      <c r="I966" s="325"/>
      <c r="J966" s="325"/>
      <c r="K966" s="329"/>
      <c r="L966" s="325"/>
      <c r="M966" s="325"/>
    </row>
    <row r="967" spans="8:13" ht="15.75">
      <c r="H967" s="325"/>
      <c r="I967" s="325"/>
      <c r="J967" s="325"/>
      <c r="K967" s="329"/>
      <c r="L967" s="325"/>
      <c r="M967" s="325"/>
    </row>
    <row r="968" spans="8:13" ht="15.75">
      <c r="H968" s="325"/>
      <c r="I968" s="325"/>
      <c r="J968" s="325"/>
      <c r="K968" s="329"/>
      <c r="L968" s="325"/>
      <c r="M968" s="325"/>
    </row>
    <row r="969" spans="8:13" ht="15.75">
      <c r="H969" s="325"/>
      <c r="I969" s="325"/>
      <c r="J969" s="325"/>
      <c r="K969" s="329"/>
      <c r="L969" s="325"/>
      <c r="M969" s="325"/>
    </row>
    <row r="970" spans="8:13" ht="15.75">
      <c r="H970" s="325"/>
      <c r="I970" s="325"/>
      <c r="J970" s="325"/>
      <c r="K970" s="329"/>
      <c r="L970" s="325"/>
      <c r="M970" s="325"/>
    </row>
    <row r="971" spans="8:13" ht="15.75">
      <c r="H971" s="325"/>
      <c r="I971" s="325"/>
      <c r="J971" s="325"/>
      <c r="K971" s="329"/>
      <c r="L971" s="325"/>
      <c r="M971" s="325"/>
    </row>
    <row r="972" spans="8:13" ht="15.75">
      <c r="H972" s="325"/>
      <c r="I972" s="325"/>
      <c r="J972" s="325"/>
      <c r="K972" s="329"/>
      <c r="L972" s="325"/>
      <c r="M972" s="325"/>
    </row>
    <row r="973" spans="8:13" ht="15.75">
      <c r="H973" s="325"/>
      <c r="I973" s="325"/>
      <c r="J973" s="325"/>
      <c r="K973" s="329"/>
      <c r="L973" s="325"/>
      <c r="M973" s="325"/>
    </row>
    <row r="974" spans="8:13" ht="15.75">
      <c r="H974" s="325"/>
      <c r="I974" s="325"/>
      <c r="J974" s="325"/>
      <c r="K974" s="329"/>
      <c r="L974" s="325"/>
      <c r="M974" s="325"/>
    </row>
    <row r="975" spans="8:13" ht="15.75">
      <c r="H975" s="325"/>
      <c r="I975" s="325"/>
      <c r="J975" s="325"/>
      <c r="K975" s="329"/>
      <c r="L975" s="325"/>
      <c r="M975" s="325"/>
    </row>
    <row r="976" spans="8:13" ht="15.75">
      <c r="H976" s="325"/>
      <c r="I976" s="325"/>
      <c r="J976" s="325"/>
      <c r="K976" s="329"/>
      <c r="L976" s="325"/>
      <c r="M976" s="325"/>
    </row>
    <row r="977" spans="8:13" ht="15.75">
      <c r="H977" s="325"/>
      <c r="I977" s="325"/>
      <c r="J977" s="325"/>
      <c r="K977" s="329"/>
      <c r="L977" s="325"/>
      <c r="M977" s="325"/>
    </row>
    <row r="978" spans="8:13" ht="15.75">
      <c r="H978" s="325"/>
      <c r="I978" s="325"/>
      <c r="J978" s="325"/>
      <c r="K978" s="329"/>
      <c r="L978" s="325"/>
      <c r="M978" s="325"/>
    </row>
    <row r="979" spans="8:13" ht="15.75">
      <c r="H979" s="325"/>
      <c r="I979" s="325"/>
      <c r="J979" s="325"/>
      <c r="K979" s="329"/>
      <c r="L979" s="325"/>
      <c r="M979" s="325"/>
    </row>
    <row r="980" spans="8:13" ht="15.75">
      <c r="H980" s="325"/>
      <c r="I980" s="325"/>
      <c r="J980" s="325"/>
      <c r="K980" s="329"/>
      <c r="L980" s="325"/>
      <c r="M980" s="325"/>
    </row>
    <row r="981" spans="8:13" ht="15.75">
      <c r="H981" s="325"/>
      <c r="I981" s="325"/>
      <c r="J981" s="325"/>
      <c r="K981" s="329"/>
      <c r="L981" s="325"/>
      <c r="M981" s="325"/>
    </row>
    <row r="982" spans="8:13" ht="15.75">
      <c r="H982" s="325"/>
      <c r="I982" s="325"/>
      <c r="J982" s="325"/>
      <c r="K982" s="329"/>
      <c r="L982" s="325"/>
      <c r="M982" s="325"/>
    </row>
    <row r="983" spans="8:13" ht="15.75">
      <c r="H983" s="325"/>
      <c r="I983" s="325"/>
      <c r="J983" s="325"/>
      <c r="K983" s="329"/>
      <c r="L983" s="325"/>
      <c r="M983" s="325"/>
    </row>
    <row r="984" spans="8:13" ht="15.75">
      <c r="H984" s="325"/>
      <c r="I984" s="325"/>
      <c r="J984" s="325"/>
      <c r="K984" s="329"/>
      <c r="L984" s="325"/>
      <c r="M984" s="325"/>
    </row>
    <row r="985" spans="8:13" ht="15.75">
      <c r="H985" s="325"/>
      <c r="I985" s="325"/>
      <c r="J985" s="325"/>
      <c r="K985" s="329"/>
      <c r="L985" s="325"/>
      <c r="M985" s="325"/>
    </row>
    <row r="986" spans="8:13" ht="15.75">
      <c r="H986" s="325"/>
      <c r="I986" s="325"/>
      <c r="J986" s="325"/>
      <c r="K986" s="329"/>
      <c r="L986" s="325"/>
      <c r="M986" s="325"/>
    </row>
    <row r="987" spans="8:13" ht="15.75">
      <c r="H987" s="325"/>
      <c r="I987" s="325"/>
      <c r="J987" s="325"/>
      <c r="K987" s="329"/>
      <c r="L987" s="325"/>
      <c r="M987" s="325"/>
    </row>
    <row r="988" spans="8:13" ht="15.75">
      <c r="H988" s="325"/>
      <c r="I988" s="325"/>
      <c r="J988" s="325"/>
      <c r="K988" s="329"/>
      <c r="L988" s="325"/>
      <c r="M988" s="325"/>
    </row>
    <row r="989" spans="8:13" ht="15.75">
      <c r="H989" s="325"/>
      <c r="I989" s="325"/>
      <c r="J989" s="325"/>
      <c r="K989" s="329"/>
      <c r="L989" s="325"/>
      <c r="M989" s="325"/>
    </row>
    <row r="990" spans="8:13" ht="15.75">
      <c r="H990" s="325"/>
      <c r="I990" s="325"/>
      <c r="J990" s="325"/>
      <c r="K990" s="329"/>
      <c r="L990" s="325"/>
      <c r="M990" s="325"/>
    </row>
    <row r="991" spans="8:13" ht="15.75">
      <c r="H991" s="325"/>
      <c r="I991" s="325"/>
      <c r="J991" s="325"/>
      <c r="K991" s="329"/>
      <c r="L991" s="325"/>
      <c r="M991" s="325"/>
    </row>
    <row r="992" spans="8:13" ht="15.75">
      <c r="H992" s="325"/>
      <c r="I992" s="325"/>
      <c r="J992" s="325"/>
      <c r="K992" s="329"/>
      <c r="L992" s="325"/>
      <c r="M992" s="325"/>
    </row>
    <row r="993" spans="8:13" ht="15.75">
      <c r="H993" s="325"/>
      <c r="I993" s="325"/>
      <c r="J993" s="325"/>
      <c r="K993" s="329"/>
      <c r="L993" s="325"/>
      <c r="M993" s="325"/>
    </row>
    <row r="994" spans="8:13" ht="15.75">
      <c r="H994" s="325"/>
      <c r="I994" s="325"/>
      <c r="J994" s="325"/>
      <c r="K994" s="329"/>
      <c r="L994" s="325"/>
      <c r="M994" s="325"/>
    </row>
    <row r="995" spans="8:13" ht="15.75">
      <c r="H995" s="325"/>
      <c r="I995" s="325"/>
      <c r="J995" s="325"/>
      <c r="K995" s="329"/>
      <c r="L995" s="325"/>
      <c r="M995" s="325"/>
    </row>
    <row r="996" spans="8:13" ht="15.75">
      <c r="H996" s="325"/>
      <c r="I996" s="325"/>
      <c r="J996" s="325"/>
      <c r="K996" s="329"/>
      <c r="L996" s="325"/>
      <c r="M996" s="325"/>
    </row>
    <row r="997" spans="8:13" ht="15.75">
      <c r="H997" s="325"/>
      <c r="I997" s="325"/>
      <c r="J997" s="325"/>
      <c r="K997" s="329"/>
      <c r="L997" s="325"/>
      <c r="M997" s="325"/>
    </row>
    <row r="998" spans="8:13" ht="15.75">
      <c r="H998" s="325"/>
      <c r="I998" s="325"/>
      <c r="J998" s="325"/>
      <c r="K998" s="329"/>
      <c r="L998" s="325"/>
      <c r="M998" s="325"/>
    </row>
    <row r="999" spans="8:13" ht="15.75">
      <c r="H999" s="325"/>
      <c r="I999" s="325"/>
      <c r="J999" s="325"/>
      <c r="K999" s="329"/>
      <c r="L999" s="325"/>
      <c r="M999" s="325"/>
    </row>
    <row r="1000" spans="8:13" ht="15.75">
      <c r="H1000" s="325"/>
      <c r="I1000" s="325"/>
      <c r="J1000" s="325"/>
      <c r="K1000" s="329"/>
      <c r="L1000" s="325"/>
      <c r="M1000" s="325"/>
    </row>
    <row r="1001" spans="8:13" ht="15.75">
      <c r="H1001" s="325"/>
      <c r="I1001" s="325"/>
      <c r="J1001" s="325"/>
      <c r="K1001" s="329"/>
      <c r="L1001" s="325"/>
      <c r="M1001" s="325"/>
    </row>
    <row r="1002" spans="8:13" ht="15.75">
      <c r="H1002" s="325"/>
      <c r="I1002" s="325"/>
      <c r="J1002" s="325"/>
      <c r="K1002" s="329"/>
      <c r="L1002" s="325"/>
      <c r="M1002" s="325"/>
    </row>
    <row r="1003" spans="8:13" ht="15.75">
      <c r="H1003" s="325"/>
      <c r="I1003" s="325"/>
      <c r="J1003" s="325"/>
      <c r="K1003" s="329"/>
      <c r="L1003" s="325"/>
      <c r="M1003" s="325"/>
    </row>
    <row r="1004" spans="8:13" ht="15.75">
      <c r="H1004" s="325"/>
      <c r="I1004" s="325"/>
      <c r="J1004" s="325"/>
      <c r="K1004" s="329"/>
      <c r="L1004" s="325"/>
      <c r="M1004" s="325"/>
    </row>
    <row r="1005" spans="8:13" ht="15.75">
      <c r="H1005" s="325"/>
      <c r="I1005" s="325"/>
      <c r="J1005" s="325"/>
      <c r="K1005" s="329"/>
      <c r="L1005" s="325"/>
      <c r="M1005" s="325"/>
    </row>
    <row r="1006" spans="8:13" ht="15.75">
      <c r="H1006" s="325"/>
      <c r="I1006" s="325"/>
      <c r="J1006" s="325"/>
      <c r="K1006" s="329"/>
      <c r="L1006" s="325"/>
      <c r="M1006" s="325"/>
    </row>
    <row r="1007" spans="8:13" ht="15.75">
      <c r="H1007" s="325"/>
      <c r="I1007" s="325"/>
      <c r="J1007" s="325"/>
      <c r="K1007" s="329"/>
      <c r="L1007" s="325"/>
      <c r="M1007" s="325"/>
    </row>
    <row r="1008" spans="8:13" ht="15.75">
      <c r="H1008" s="325"/>
      <c r="I1008" s="325"/>
      <c r="J1008" s="325"/>
      <c r="K1008" s="329"/>
      <c r="L1008" s="325"/>
      <c r="M1008" s="325"/>
    </row>
    <row r="1009" spans="8:13" ht="15.75">
      <c r="H1009" s="325"/>
      <c r="I1009" s="325"/>
      <c r="J1009" s="325"/>
      <c r="K1009" s="329"/>
      <c r="L1009" s="325"/>
      <c r="M1009" s="325"/>
    </row>
    <row r="1010" spans="8:13" ht="15.75">
      <c r="H1010" s="325"/>
      <c r="I1010" s="325"/>
      <c r="J1010" s="325"/>
      <c r="K1010" s="329"/>
      <c r="L1010" s="325"/>
      <c r="M1010" s="325"/>
    </row>
    <row r="1011" spans="8:13" ht="15.75">
      <c r="H1011" s="325"/>
      <c r="I1011" s="325"/>
      <c r="J1011" s="325"/>
      <c r="K1011" s="329"/>
      <c r="L1011" s="325"/>
      <c r="M1011" s="325"/>
    </row>
    <row r="1012" spans="8:13" ht="15.75">
      <c r="H1012" s="325"/>
      <c r="I1012" s="325"/>
      <c r="J1012" s="325"/>
      <c r="K1012" s="329"/>
      <c r="L1012" s="325"/>
      <c r="M1012" s="325"/>
    </row>
    <row r="1013" spans="8:13" ht="15.75">
      <c r="H1013" s="325"/>
      <c r="I1013" s="325"/>
      <c r="J1013" s="325"/>
      <c r="K1013" s="329"/>
      <c r="L1013" s="325"/>
      <c r="M1013" s="325"/>
    </row>
    <row r="1014" spans="8:13" ht="15.75">
      <c r="H1014" s="325"/>
      <c r="I1014" s="325"/>
      <c r="J1014" s="325"/>
      <c r="K1014" s="329"/>
      <c r="L1014" s="325"/>
      <c r="M1014" s="325"/>
    </row>
    <row r="1015" spans="8:13" ht="15.75">
      <c r="H1015" s="325"/>
      <c r="I1015" s="325"/>
      <c r="J1015" s="325"/>
      <c r="K1015" s="329"/>
      <c r="L1015" s="325"/>
      <c r="M1015" s="325"/>
    </row>
    <row r="1016" spans="8:13" ht="15.75">
      <c r="H1016" s="325"/>
      <c r="I1016" s="325"/>
      <c r="J1016" s="325"/>
      <c r="K1016" s="329"/>
      <c r="L1016" s="325"/>
      <c r="M1016" s="325"/>
    </row>
    <row r="1017" spans="8:13" ht="15.75">
      <c r="H1017" s="325"/>
      <c r="I1017" s="325"/>
      <c r="J1017" s="325"/>
      <c r="K1017" s="329"/>
      <c r="L1017" s="325"/>
      <c r="M1017" s="325"/>
    </row>
    <row r="1018" spans="8:13" ht="15.75">
      <c r="H1018" s="325"/>
      <c r="I1018" s="325"/>
      <c r="J1018" s="325"/>
      <c r="K1018" s="329"/>
      <c r="L1018" s="325"/>
      <c r="M1018" s="325"/>
    </row>
    <row r="1019" spans="8:13" ht="15.75">
      <c r="H1019" s="325"/>
      <c r="I1019" s="325"/>
      <c r="J1019" s="325"/>
      <c r="K1019" s="329"/>
      <c r="L1019" s="325"/>
      <c r="M1019" s="325"/>
    </row>
    <row r="1020" spans="8:13" ht="15.75">
      <c r="H1020" s="325"/>
      <c r="I1020" s="325"/>
      <c r="J1020" s="325"/>
      <c r="K1020" s="329"/>
      <c r="L1020" s="325"/>
      <c r="M1020" s="325"/>
    </row>
    <row r="1021" spans="8:13" ht="15.75">
      <c r="H1021" s="325"/>
      <c r="I1021" s="325"/>
      <c r="J1021" s="325"/>
      <c r="K1021" s="329"/>
      <c r="L1021" s="325"/>
      <c r="M1021" s="325"/>
    </row>
    <row r="1022" spans="8:13" ht="15.75">
      <c r="H1022" s="325"/>
      <c r="I1022" s="325"/>
      <c r="J1022" s="325"/>
      <c r="K1022" s="329"/>
      <c r="L1022" s="325"/>
      <c r="M1022" s="325"/>
    </row>
    <row r="1023" spans="8:13" ht="15.75">
      <c r="H1023" s="325"/>
      <c r="I1023" s="325"/>
      <c r="J1023" s="325"/>
      <c r="K1023" s="329"/>
      <c r="L1023" s="325"/>
      <c r="M1023" s="325"/>
    </row>
    <row r="1024" spans="8:13" ht="15.75">
      <c r="H1024" s="325"/>
      <c r="I1024" s="325"/>
      <c r="J1024" s="325"/>
      <c r="K1024" s="329"/>
      <c r="L1024" s="325"/>
      <c r="M1024" s="325"/>
    </row>
    <row r="1025" spans="8:13" ht="15.75">
      <c r="H1025" s="325"/>
      <c r="I1025" s="325"/>
      <c r="J1025" s="325"/>
      <c r="K1025" s="329"/>
      <c r="L1025" s="325"/>
      <c r="M1025" s="325"/>
    </row>
    <row r="1026" spans="8:13" ht="15.75">
      <c r="H1026" s="325"/>
      <c r="I1026" s="325"/>
      <c r="J1026" s="325"/>
      <c r="K1026" s="329"/>
      <c r="L1026" s="325"/>
      <c r="M1026" s="325"/>
    </row>
    <row r="1027" spans="8:13" ht="15.75">
      <c r="H1027" s="325"/>
      <c r="I1027" s="325"/>
      <c r="J1027" s="325"/>
      <c r="K1027" s="329"/>
      <c r="L1027" s="325"/>
      <c r="M1027" s="325"/>
    </row>
    <row r="1028" spans="8:13" ht="15.75">
      <c r="H1028" s="325"/>
      <c r="I1028" s="325"/>
      <c r="J1028" s="325"/>
      <c r="K1028" s="329"/>
      <c r="L1028" s="325"/>
      <c r="M1028" s="325"/>
    </row>
    <row r="1029" spans="8:13" ht="15.75">
      <c r="H1029" s="325"/>
      <c r="I1029" s="325"/>
      <c r="J1029" s="325"/>
      <c r="K1029" s="329"/>
      <c r="L1029" s="325"/>
      <c r="M1029" s="325"/>
    </row>
    <row r="1030" spans="8:13" ht="15.75">
      <c r="H1030" s="325"/>
      <c r="I1030" s="325"/>
      <c r="J1030" s="325"/>
      <c r="K1030" s="329"/>
      <c r="L1030" s="325"/>
      <c r="M1030" s="325"/>
    </row>
    <row r="1031" spans="8:13" ht="15.75">
      <c r="H1031" s="325"/>
      <c r="I1031" s="325"/>
      <c r="J1031" s="325"/>
      <c r="K1031" s="329"/>
      <c r="L1031" s="325"/>
      <c r="M1031" s="325"/>
    </row>
    <row r="1032" spans="8:13" ht="15.75">
      <c r="H1032" s="325"/>
      <c r="I1032" s="325"/>
      <c r="J1032" s="325"/>
      <c r="K1032" s="329"/>
      <c r="L1032" s="325"/>
      <c r="M1032" s="325"/>
    </row>
    <row r="1033" spans="8:13" ht="15.75">
      <c r="H1033" s="325"/>
      <c r="I1033" s="325"/>
      <c r="J1033" s="325"/>
      <c r="K1033" s="329"/>
      <c r="L1033" s="325"/>
      <c r="M1033" s="325"/>
    </row>
    <row r="1034" spans="8:13" ht="15.75">
      <c r="H1034" s="325"/>
      <c r="I1034" s="325"/>
      <c r="J1034" s="325"/>
      <c r="K1034" s="329"/>
      <c r="L1034" s="325"/>
      <c r="M1034" s="325"/>
    </row>
    <row r="1035" spans="8:13" ht="15.75">
      <c r="H1035" s="325"/>
      <c r="I1035" s="325"/>
      <c r="J1035" s="325"/>
      <c r="K1035" s="329"/>
      <c r="L1035" s="325"/>
      <c r="M1035" s="325"/>
    </row>
    <row r="1036" spans="8:13" ht="15.75">
      <c r="H1036" s="325"/>
      <c r="I1036" s="325"/>
      <c r="J1036" s="325"/>
      <c r="K1036" s="329"/>
      <c r="L1036" s="325"/>
      <c r="M1036" s="325"/>
    </row>
    <row r="1037" spans="8:13" ht="15.75">
      <c r="H1037" s="325"/>
      <c r="I1037" s="325"/>
      <c r="J1037" s="325"/>
      <c r="K1037" s="329"/>
      <c r="L1037" s="325"/>
      <c r="M1037" s="325"/>
    </row>
    <row r="1038" spans="8:13" ht="15.75">
      <c r="H1038" s="325"/>
      <c r="I1038" s="325"/>
      <c r="J1038" s="325"/>
      <c r="K1038" s="329"/>
      <c r="L1038" s="325"/>
      <c r="M1038" s="325"/>
    </row>
    <row r="1039" spans="8:13" ht="15.75">
      <c r="H1039" s="325"/>
      <c r="I1039" s="325"/>
      <c r="J1039" s="325"/>
      <c r="K1039" s="329"/>
      <c r="L1039" s="325"/>
      <c r="M1039" s="325"/>
    </row>
    <row r="1040" spans="8:13" ht="15.75">
      <c r="H1040" s="325"/>
      <c r="I1040" s="325"/>
      <c r="J1040" s="325"/>
      <c r="K1040" s="329"/>
      <c r="L1040" s="325"/>
      <c r="M1040" s="325"/>
    </row>
    <row r="1041" spans="8:13" ht="15.75">
      <c r="H1041" s="325"/>
      <c r="I1041" s="325"/>
      <c r="J1041" s="325"/>
      <c r="K1041" s="329"/>
      <c r="L1041" s="325"/>
      <c r="M1041" s="325"/>
    </row>
    <row r="1042" spans="8:13" ht="15.75">
      <c r="H1042" s="325"/>
      <c r="I1042" s="325"/>
      <c r="J1042" s="325"/>
      <c r="K1042" s="329"/>
      <c r="L1042" s="325"/>
      <c r="M1042" s="325"/>
    </row>
    <row r="1043" spans="8:13" ht="15.75">
      <c r="H1043" s="325"/>
      <c r="I1043" s="325"/>
      <c r="J1043" s="325"/>
      <c r="K1043" s="329"/>
      <c r="L1043" s="325"/>
      <c r="M1043" s="325"/>
    </row>
    <row r="1044" spans="8:13" ht="15.75">
      <c r="H1044" s="325"/>
      <c r="I1044" s="325"/>
      <c r="J1044" s="325"/>
      <c r="K1044" s="329"/>
      <c r="L1044" s="325"/>
      <c r="M1044" s="325"/>
    </row>
    <row r="1045" spans="8:13" ht="15.75">
      <c r="H1045" s="325"/>
      <c r="I1045" s="325"/>
      <c r="J1045" s="325"/>
      <c r="K1045" s="329"/>
      <c r="L1045" s="325"/>
      <c r="M1045" s="325"/>
    </row>
    <row r="1046" spans="8:13" ht="15.75">
      <c r="H1046" s="325"/>
      <c r="I1046" s="325"/>
      <c r="J1046" s="325"/>
      <c r="K1046" s="329"/>
      <c r="L1046" s="325"/>
      <c r="M1046" s="325"/>
    </row>
    <row r="1047" spans="8:13" ht="15.75">
      <c r="H1047" s="325"/>
      <c r="I1047" s="325"/>
      <c r="J1047" s="325"/>
      <c r="K1047" s="329"/>
      <c r="L1047" s="325"/>
      <c r="M1047" s="325"/>
    </row>
    <row r="1048" spans="8:13" ht="15.75">
      <c r="H1048" s="325"/>
      <c r="I1048" s="325"/>
      <c r="J1048" s="325"/>
      <c r="K1048" s="329"/>
      <c r="L1048" s="325"/>
      <c r="M1048" s="325"/>
    </row>
    <row r="1049" spans="8:13" ht="15.75">
      <c r="H1049" s="325"/>
      <c r="I1049" s="325"/>
      <c r="J1049" s="325"/>
      <c r="K1049" s="329"/>
      <c r="L1049" s="325"/>
      <c r="M1049" s="325"/>
    </row>
    <row r="1050" spans="8:13" ht="15.75">
      <c r="H1050" s="325"/>
      <c r="I1050" s="325"/>
      <c r="J1050" s="325"/>
      <c r="K1050" s="329"/>
      <c r="L1050" s="325"/>
      <c r="M1050" s="325"/>
    </row>
    <row r="1051" spans="8:13" ht="15.75">
      <c r="H1051" s="325"/>
      <c r="I1051" s="325"/>
      <c r="J1051" s="325"/>
      <c r="K1051" s="329"/>
      <c r="L1051" s="325"/>
      <c r="M1051" s="325"/>
    </row>
    <row r="1052" spans="8:13" ht="15.75">
      <c r="H1052" s="325"/>
      <c r="I1052" s="325"/>
      <c r="J1052" s="325"/>
      <c r="K1052" s="329"/>
      <c r="L1052" s="325"/>
      <c r="M1052" s="325"/>
    </row>
    <row r="1053" spans="8:13" ht="15.75">
      <c r="H1053" s="325"/>
      <c r="I1053" s="325"/>
      <c r="J1053" s="325"/>
      <c r="K1053" s="329"/>
      <c r="L1053" s="325"/>
      <c r="M1053" s="325"/>
    </row>
    <row r="1054" spans="8:13" ht="15.75">
      <c r="H1054" s="325"/>
      <c r="I1054" s="325"/>
      <c r="J1054" s="325"/>
      <c r="K1054" s="329"/>
      <c r="L1054" s="325"/>
      <c r="M1054" s="325"/>
    </row>
    <row r="1055" spans="8:13" ht="15.75">
      <c r="H1055" s="325"/>
      <c r="I1055" s="325"/>
      <c r="J1055" s="325"/>
      <c r="K1055" s="329"/>
      <c r="L1055" s="325"/>
      <c r="M1055" s="325"/>
    </row>
    <row r="1056" spans="8:13" ht="15.75">
      <c r="H1056" s="325"/>
      <c r="I1056" s="325"/>
      <c r="J1056" s="325"/>
      <c r="K1056" s="329"/>
      <c r="L1056" s="325"/>
      <c r="M1056" s="325"/>
    </row>
    <row r="1057" spans="8:13" ht="15.75">
      <c r="H1057" s="325"/>
      <c r="I1057" s="325"/>
      <c r="J1057" s="325"/>
      <c r="K1057" s="329"/>
      <c r="L1057" s="325"/>
      <c r="M1057" s="325"/>
    </row>
    <row r="1058" spans="8:13" ht="15.75">
      <c r="H1058" s="325"/>
      <c r="I1058" s="325"/>
      <c r="J1058" s="325"/>
      <c r="K1058" s="329"/>
      <c r="L1058" s="325"/>
      <c r="M1058" s="325"/>
    </row>
    <row r="1059" spans="8:13" ht="15.75">
      <c r="H1059" s="325"/>
      <c r="I1059" s="325"/>
      <c r="J1059" s="325"/>
      <c r="K1059" s="329"/>
      <c r="L1059" s="325"/>
      <c r="M1059" s="325"/>
    </row>
    <row r="1060" spans="8:13" ht="15.75">
      <c r="H1060" s="325"/>
      <c r="I1060" s="325"/>
      <c r="J1060" s="325"/>
      <c r="K1060" s="329"/>
      <c r="L1060" s="325"/>
      <c r="M1060" s="325"/>
    </row>
    <row r="1061" spans="8:13" ht="15.75">
      <c r="H1061" s="325"/>
      <c r="I1061" s="325"/>
      <c r="J1061" s="325"/>
      <c r="K1061" s="329"/>
      <c r="L1061" s="325"/>
      <c r="M1061" s="325"/>
    </row>
    <row r="1062" spans="8:13" ht="15.75">
      <c r="H1062" s="325"/>
      <c r="I1062" s="325"/>
      <c r="J1062" s="325"/>
      <c r="K1062" s="329"/>
      <c r="L1062" s="325"/>
      <c r="M1062" s="325"/>
    </row>
    <row r="1063" spans="8:13" ht="15.75">
      <c r="H1063" s="325"/>
      <c r="I1063" s="325"/>
      <c r="J1063" s="325"/>
      <c r="K1063" s="329"/>
      <c r="L1063" s="325"/>
      <c r="M1063" s="325"/>
    </row>
    <row r="1064" spans="8:13" ht="15.75">
      <c r="H1064" s="325"/>
      <c r="I1064" s="325"/>
      <c r="J1064" s="325"/>
      <c r="K1064" s="329"/>
      <c r="L1064" s="325"/>
      <c r="M1064" s="325"/>
    </row>
    <row r="1065" spans="8:13" ht="15.75">
      <c r="H1065" s="325"/>
      <c r="I1065" s="325"/>
      <c r="J1065" s="325"/>
      <c r="K1065" s="329"/>
      <c r="L1065" s="325"/>
      <c r="M1065" s="325"/>
    </row>
    <row r="1066" spans="8:13" ht="15.75">
      <c r="H1066" s="325"/>
      <c r="I1066" s="325"/>
      <c r="J1066" s="325"/>
      <c r="K1066" s="329"/>
      <c r="L1066" s="325"/>
      <c r="M1066" s="325"/>
    </row>
    <row r="1067" spans="8:13" ht="15.75">
      <c r="H1067" s="325"/>
      <c r="I1067" s="325"/>
      <c r="J1067" s="325"/>
      <c r="K1067" s="329"/>
      <c r="L1067" s="325"/>
      <c r="M1067" s="325"/>
    </row>
    <row r="1068" spans="8:13" ht="15.75">
      <c r="H1068" s="325"/>
      <c r="I1068" s="325"/>
      <c r="J1068" s="325"/>
      <c r="K1068" s="329"/>
      <c r="L1068" s="325"/>
      <c r="M1068" s="325"/>
    </row>
    <row r="1069" spans="8:13" ht="15.75">
      <c r="H1069" s="325"/>
      <c r="I1069" s="325"/>
      <c r="J1069" s="325"/>
      <c r="K1069" s="329"/>
      <c r="L1069" s="325"/>
      <c r="M1069" s="325"/>
    </row>
    <row r="1070" spans="8:13" ht="15.75">
      <c r="H1070" s="325"/>
      <c r="I1070" s="325"/>
      <c r="J1070" s="325"/>
      <c r="K1070" s="329"/>
      <c r="L1070" s="325"/>
      <c r="M1070" s="325"/>
    </row>
    <row r="1071" spans="8:13" ht="15.75">
      <c r="H1071" s="325"/>
      <c r="I1071" s="325"/>
      <c r="J1071" s="325"/>
      <c r="K1071" s="329"/>
      <c r="L1071" s="325"/>
      <c r="M1071" s="325"/>
    </row>
    <row r="1072" spans="8:13" ht="15.75">
      <c r="H1072" s="325"/>
      <c r="I1072" s="325"/>
      <c r="J1072" s="325"/>
      <c r="K1072" s="329"/>
      <c r="L1072" s="325"/>
      <c r="M1072" s="325"/>
    </row>
    <row r="1073" spans="8:13" ht="15.75">
      <c r="H1073" s="325"/>
      <c r="I1073" s="325"/>
      <c r="J1073" s="325"/>
      <c r="K1073" s="329"/>
      <c r="L1073" s="325"/>
      <c r="M1073" s="325"/>
    </row>
    <row r="1074" spans="8:13" ht="15.75">
      <c r="H1074" s="325"/>
      <c r="I1074" s="325"/>
      <c r="J1074" s="325"/>
      <c r="K1074" s="329"/>
      <c r="L1074" s="325"/>
      <c r="M1074" s="325"/>
    </row>
    <row r="1075" spans="8:13" ht="15.75">
      <c r="H1075" s="325"/>
      <c r="I1075" s="325"/>
      <c r="J1075" s="325"/>
      <c r="K1075" s="329"/>
      <c r="L1075" s="325"/>
      <c r="M1075" s="325"/>
    </row>
    <row r="1076" spans="8:13" ht="15.75">
      <c r="H1076" s="325"/>
      <c r="I1076" s="325"/>
      <c r="J1076" s="325"/>
      <c r="K1076" s="329"/>
      <c r="L1076" s="325"/>
      <c r="M1076" s="325"/>
    </row>
    <row r="1077" spans="8:13" ht="15.75">
      <c r="H1077" s="325"/>
      <c r="I1077" s="325"/>
      <c r="J1077" s="325"/>
      <c r="K1077" s="329"/>
      <c r="L1077" s="325"/>
      <c r="M1077" s="325"/>
    </row>
    <row r="1078" spans="8:13" ht="15.75">
      <c r="H1078" s="325"/>
      <c r="I1078" s="325"/>
      <c r="J1078" s="325"/>
      <c r="K1078" s="325"/>
      <c r="L1078" s="325"/>
      <c r="M1078" s="325"/>
    </row>
    <row r="1079" spans="8:13" ht="15.75">
      <c r="H1079" s="325"/>
      <c r="I1079" s="325"/>
      <c r="J1079" s="325"/>
      <c r="K1079" s="325"/>
      <c r="L1079" s="325"/>
      <c r="M1079" s="325"/>
    </row>
    <row r="1080" spans="8:13" ht="15.75">
      <c r="H1080" s="325"/>
      <c r="I1080" s="325"/>
      <c r="J1080" s="325"/>
      <c r="K1080" s="325"/>
      <c r="L1080" s="325"/>
      <c r="M1080" s="325"/>
    </row>
    <row r="1081" spans="8:13" ht="15.75">
      <c r="H1081" s="325"/>
      <c r="I1081" s="325"/>
      <c r="J1081" s="325"/>
      <c r="K1081" s="325"/>
      <c r="L1081" s="325"/>
      <c r="M1081" s="325"/>
    </row>
    <row r="1082" spans="8:13" ht="15.75">
      <c r="H1082" s="325"/>
      <c r="I1082" s="325"/>
      <c r="J1082" s="325"/>
      <c r="K1082" s="325"/>
      <c r="L1082" s="325"/>
      <c r="M1082" s="325"/>
    </row>
    <row r="1083" spans="8:13" ht="15.75">
      <c r="H1083" s="325"/>
      <c r="I1083" s="325"/>
      <c r="J1083" s="325"/>
      <c r="K1083" s="325"/>
      <c r="L1083" s="325"/>
      <c r="M1083" s="325"/>
    </row>
    <row r="1084" spans="8:13" ht="15.75">
      <c r="H1084" s="325"/>
      <c r="I1084" s="325"/>
      <c r="J1084" s="325"/>
      <c r="K1084" s="325"/>
      <c r="L1084" s="325"/>
      <c r="M1084" s="325"/>
    </row>
    <row r="1085" spans="8:13" ht="15.75">
      <c r="H1085" s="325"/>
      <c r="I1085" s="325"/>
      <c r="J1085" s="325"/>
      <c r="K1085" s="325"/>
      <c r="L1085" s="325"/>
      <c r="M1085" s="325"/>
    </row>
    <row r="1086" spans="8:13" ht="15.75">
      <c r="H1086" s="325"/>
      <c r="I1086" s="325"/>
      <c r="J1086" s="325"/>
      <c r="K1086" s="325"/>
      <c r="L1086" s="325"/>
      <c r="M1086" s="325"/>
    </row>
    <row r="1087" spans="8:13" ht="15.75">
      <c r="H1087" s="325"/>
      <c r="I1087" s="325"/>
      <c r="J1087" s="325"/>
      <c r="K1087" s="325"/>
      <c r="L1087" s="325"/>
      <c r="M1087" s="325"/>
    </row>
    <row r="1088" spans="8:13" ht="15.75">
      <c r="H1088" s="325"/>
      <c r="I1088" s="325"/>
      <c r="J1088" s="325"/>
      <c r="K1088" s="325"/>
      <c r="L1088" s="325"/>
      <c r="M1088" s="325"/>
    </row>
    <row r="1089" spans="8:13" ht="15.75">
      <c r="H1089" s="325"/>
      <c r="I1089" s="325"/>
      <c r="J1089" s="325"/>
      <c r="K1089" s="325"/>
      <c r="L1089" s="325"/>
      <c r="M1089" s="325"/>
    </row>
    <row r="1090" spans="8:13" ht="15.75">
      <c r="H1090" s="325"/>
      <c r="I1090" s="325"/>
      <c r="J1090" s="325"/>
      <c r="K1090" s="325"/>
      <c r="L1090" s="325"/>
      <c r="M1090" s="325"/>
    </row>
    <row r="1091" spans="8:13" ht="15.75">
      <c r="H1091" s="325"/>
      <c r="I1091" s="325"/>
      <c r="J1091" s="325"/>
      <c r="K1091" s="325"/>
      <c r="L1091" s="325"/>
      <c r="M1091" s="325"/>
    </row>
    <row r="1092" spans="8:13" ht="15.75">
      <c r="H1092" s="325"/>
      <c r="I1092" s="325"/>
      <c r="J1092" s="325"/>
      <c r="K1092" s="325"/>
      <c r="L1092" s="325"/>
      <c r="M1092" s="325"/>
    </row>
    <row r="1093" spans="8:13" ht="15.75">
      <c r="H1093" s="325"/>
      <c r="I1093" s="325"/>
      <c r="J1093" s="325"/>
      <c r="K1093" s="325"/>
      <c r="L1093" s="325"/>
      <c r="M1093" s="325"/>
    </row>
    <row r="1094" spans="8:13" ht="15.75">
      <c r="H1094" s="325"/>
      <c r="I1094" s="325"/>
      <c r="J1094" s="325"/>
      <c r="K1094" s="325"/>
      <c r="L1094" s="325"/>
      <c r="M1094" s="325"/>
    </row>
    <row r="1095" spans="8:13" ht="15.75">
      <c r="H1095" s="325"/>
      <c r="I1095" s="325"/>
      <c r="J1095" s="325"/>
      <c r="K1095" s="325"/>
      <c r="L1095" s="325"/>
      <c r="M1095" s="325"/>
    </row>
    <row r="1096" spans="8:13" ht="15.75">
      <c r="H1096" s="325"/>
      <c r="I1096" s="325"/>
      <c r="J1096" s="325"/>
      <c r="K1096" s="325"/>
      <c r="L1096" s="325"/>
      <c r="M1096" s="325"/>
    </row>
    <row r="1097" spans="8:13" ht="15.75">
      <c r="H1097" s="325"/>
      <c r="I1097" s="325"/>
      <c r="J1097" s="325"/>
      <c r="K1097" s="325"/>
      <c r="L1097" s="325"/>
      <c r="M1097" s="325"/>
    </row>
    <row r="1098" spans="8:13" ht="15.75">
      <c r="H1098" s="325"/>
      <c r="I1098" s="325"/>
      <c r="J1098" s="325"/>
      <c r="K1098" s="325"/>
      <c r="L1098" s="325"/>
      <c r="M1098" s="325"/>
    </row>
    <row r="1099" spans="8:13" ht="15.75">
      <c r="H1099" s="325"/>
      <c r="I1099" s="325"/>
      <c r="J1099" s="325"/>
      <c r="K1099" s="325"/>
      <c r="L1099" s="325"/>
      <c r="M1099" s="325"/>
    </row>
    <row r="1100" spans="8:13" ht="15.75">
      <c r="H1100" s="325"/>
      <c r="I1100" s="325"/>
      <c r="J1100" s="325"/>
      <c r="K1100" s="325"/>
      <c r="L1100" s="325"/>
      <c r="M1100" s="325"/>
    </row>
    <row r="1101" spans="8:13" ht="15.75">
      <c r="H1101" s="325"/>
      <c r="I1101" s="325"/>
      <c r="J1101" s="325"/>
      <c r="K1101" s="325"/>
      <c r="L1101" s="325"/>
      <c r="M1101" s="325"/>
    </row>
    <row r="1102" spans="8:13" ht="15.75">
      <c r="H1102" s="325"/>
      <c r="I1102" s="325"/>
      <c r="J1102" s="325"/>
      <c r="K1102" s="325"/>
      <c r="L1102" s="325"/>
      <c r="M1102" s="325"/>
    </row>
    <row r="1103" spans="8:13" ht="15.75">
      <c r="H1103" s="325"/>
      <c r="I1103" s="325"/>
      <c r="J1103" s="325"/>
      <c r="K1103" s="325"/>
      <c r="L1103" s="325"/>
      <c r="M1103" s="325"/>
    </row>
    <row r="1104" spans="8:13" ht="15.75">
      <c r="H1104" s="325"/>
      <c r="I1104" s="325"/>
      <c r="J1104" s="325"/>
      <c r="K1104" s="325"/>
      <c r="L1104" s="325"/>
      <c r="M1104" s="325"/>
    </row>
    <row r="1105" spans="8:13" ht="15.75">
      <c r="H1105" s="325"/>
      <c r="I1105" s="325"/>
      <c r="J1105" s="325"/>
      <c r="K1105" s="325"/>
      <c r="L1105" s="325"/>
      <c r="M1105" s="325"/>
    </row>
    <row r="1106" spans="8:13" ht="15.75">
      <c r="H1106" s="325"/>
      <c r="I1106" s="325"/>
      <c r="J1106" s="325"/>
      <c r="K1106" s="325"/>
      <c r="L1106" s="325"/>
      <c r="M1106" s="325"/>
    </row>
    <row r="1107" spans="8:13" ht="15.75">
      <c r="H1107" s="325"/>
      <c r="I1107" s="325"/>
      <c r="J1107" s="325"/>
      <c r="K1107" s="325"/>
      <c r="L1107" s="325"/>
      <c r="M1107" s="325"/>
    </row>
    <row r="1108" spans="8:13" ht="15.75">
      <c r="H1108" s="325"/>
      <c r="I1108" s="325"/>
      <c r="J1108" s="325"/>
      <c r="K1108" s="325"/>
      <c r="L1108" s="325"/>
      <c r="M1108" s="325"/>
    </row>
    <row r="1109" spans="8:13" ht="15.75">
      <c r="H1109" s="325"/>
      <c r="I1109" s="325"/>
      <c r="J1109" s="325"/>
      <c r="K1109" s="325"/>
      <c r="L1109" s="325"/>
      <c r="M1109" s="325"/>
    </row>
    <row r="1110" spans="8:13" ht="15.75">
      <c r="H1110" s="325"/>
      <c r="I1110" s="325"/>
      <c r="J1110" s="325"/>
      <c r="K1110" s="325"/>
      <c r="L1110" s="325"/>
      <c r="M1110" s="325"/>
    </row>
    <row r="1111" spans="8:13" ht="15.75">
      <c r="H1111" s="325"/>
      <c r="I1111" s="325"/>
      <c r="J1111" s="325"/>
      <c r="K1111" s="325"/>
      <c r="L1111" s="325"/>
      <c r="M1111" s="325"/>
    </row>
    <row r="1112" spans="8:13" ht="15.75">
      <c r="H1112" s="325"/>
      <c r="I1112" s="325"/>
      <c r="J1112" s="325"/>
      <c r="K1112" s="325"/>
      <c r="L1112" s="325"/>
      <c r="M1112" s="325"/>
    </row>
    <row r="1113" spans="8:13" ht="15.75">
      <c r="H1113" s="325"/>
      <c r="I1113" s="325"/>
      <c r="J1113" s="325"/>
      <c r="K1113" s="325"/>
      <c r="L1113" s="325"/>
      <c r="M1113" s="325"/>
    </row>
    <row r="1114" spans="8:13" ht="15.75">
      <c r="H1114" s="325"/>
      <c r="I1114" s="325"/>
      <c r="J1114" s="325"/>
      <c r="K1114" s="325"/>
      <c r="L1114" s="325"/>
      <c r="M1114" s="325"/>
    </row>
    <row r="1115" spans="8:13" ht="15.75">
      <c r="H1115" s="325"/>
      <c r="I1115" s="325"/>
      <c r="J1115" s="325"/>
      <c r="K1115" s="325"/>
      <c r="L1115" s="325"/>
      <c r="M1115" s="325"/>
    </row>
    <row r="1116" spans="8:13" ht="15.75">
      <c r="H1116" s="325"/>
      <c r="I1116" s="325"/>
      <c r="J1116" s="325"/>
      <c r="K1116" s="325"/>
      <c r="L1116" s="325"/>
      <c r="M1116" s="325"/>
    </row>
    <row r="1117" spans="8:13" ht="15.75">
      <c r="H1117" s="325"/>
      <c r="I1117" s="325"/>
      <c r="J1117" s="325"/>
      <c r="K1117" s="325"/>
      <c r="L1117" s="325"/>
      <c r="M1117" s="325"/>
    </row>
    <row r="1118" spans="8:13" ht="15.75">
      <c r="H1118" s="325"/>
      <c r="I1118" s="325"/>
      <c r="J1118" s="325"/>
      <c r="K1118" s="325"/>
      <c r="L1118" s="325"/>
      <c r="M1118" s="325"/>
    </row>
    <row r="1119" spans="8:13" ht="15.75">
      <c r="H1119" s="325"/>
      <c r="I1119" s="325"/>
      <c r="J1119" s="325"/>
      <c r="K1119" s="325"/>
      <c r="L1119" s="325"/>
      <c r="M1119" s="325"/>
    </row>
    <row r="1120" spans="8:13" ht="15.75">
      <c r="H1120" s="325"/>
      <c r="I1120" s="325"/>
      <c r="J1120" s="325"/>
      <c r="K1120" s="325"/>
      <c r="L1120" s="325"/>
      <c r="M1120" s="325"/>
    </row>
    <row r="1121" spans="8:13" ht="15.75">
      <c r="H1121" s="325"/>
      <c r="I1121" s="325"/>
      <c r="J1121" s="325"/>
      <c r="K1121" s="325"/>
      <c r="L1121" s="325"/>
      <c r="M1121" s="325"/>
    </row>
    <row r="1122" spans="8:13" ht="15.75">
      <c r="H1122" s="325"/>
      <c r="I1122" s="325"/>
      <c r="J1122" s="325"/>
      <c r="K1122" s="325"/>
      <c r="L1122" s="325"/>
      <c r="M1122" s="325"/>
    </row>
    <row r="1123" spans="8:13" ht="15.75">
      <c r="H1123" s="325"/>
      <c r="I1123" s="325"/>
      <c r="J1123" s="325"/>
      <c r="K1123" s="325"/>
      <c r="L1123" s="325"/>
      <c r="M1123" s="325"/>
    </row>
    <row r="1124" spans="8:13" ht="15.75">
      <c r="H1124" s="325"/>
      <c r="I1124" s="325"/>
      <c r="J1124" s="325"/>
      <c r="K1124" s="325"/>
      <c r="L1124" s="325"/>
      <c r="M1124" s="325"/>
    </row>
    <row r="1125" spans="8:13" ht="15.75">
      <c r="H1125" s="325"/>
      <c r="I1125" s="325"/>
      <c r="J1125" s="325"/>
      <c r="K1125" s="325"/>
      <c r="L1125" s="325"/>
      <c r="M1125" s="325"/>
    </row>
    <row r="1126" spans="8:13" ht="15.75">
      <c r="H1126" s="325"/>
      <c r="I1126" s="325"/>
      <c r="J1126" s="325"/>
      <c r="K1126" s="325"/>
      <c r="L1126" s="325"/>
      <c r="M1126" s="325"/>
    </row>
    <row r="1127" spans="8:13" ht="15.75">
      <c r="H1127" s="325"/>
      <c r="I1127" s="325"/>
      <c r="J1127" s="325"/>
      <c r="K1127" s="325"/>
      <c r="L1127" s="325"/>
      <c r="M1127" s="325"/>
    </row>
    <row r="1128" spans="8:13" ht="15.75">
      <c r="H1128" s="325"/>
      <c r="I1128" s="325"/>
      <c r="J1128" s="325"/>
      <c r="K1128" s="325"/>
      <c r="L1128" s="325"/>
      <c r="M1128" s="325"/>
    </row>
    <row r="1129" spans="8:13" ht="15.75">
      <c r="H1129" s="325"/>
      <c r="I1129" s="325"/>
      <c r="J1129" s="325"/>
      <c r="K1129" s="325"/>
      <c r="L1129" s="325"/>
      <c r="M1129" s="325"/>
    </row>
    <row r="1130" spans="8:13" ht="15.75">
      <c r="H1130" s="325"/>
      <c r="I1130" s="325"/>
      <c r="J1130" s="325"/>
      <c r="K1130" s="325"/>
      <c r="L1130" s="325"/>
      <c r="M1130" s="325"/>
    </row>
    <row r="1131" spans="8:13" ht="15.75">
      <c r="H1131" s="325"/>
      <c r="I1131" s="325"/>
      <c r="J1131" s="325"/>
      <c r="K1131" s="325"/>
      <c r="L1131" s="325"/>
      <c r="M1131" s="325"/>
    </row>
    <row r="1132" spans="8:13" ht="15.75">
      <c r="H1132" s="325"/>
      <c r="I1132" s="325"/>
      <c r="J1132" s="325"/>
      <c r="K1132" s="325"/>
      <c r="L1132" s="325"/>
      <c r="M1132" s="325"/>
    </row>
    <row r="1133" spans="8:13" ht="15.75">
      <c r="H1133" s="325"/>
      <c r="I1133" s="325"/>
      <c r="J1133" s="325"/>
      <c r="K1133" s="325"/>
      <c r="L1133" s="325"/>
      <c r="M1133" s="325"/>
    </row>
    <row r="1134" spans="8:13" ht="15.75">
      <c r="H1134" s="325"/>
      <c r="I1134" s="325"/>
      <c r="J1134" s="325"/>
      <c r="K1134" s="325"/>
      <c r="L1134" s="325"/>
      <c r="M1134" s="325"/>
    </row>
    <row r="1135" spans="8:13" ht="15.75">
      <c r="H1135" s="325"/>
      <c r="I1135" s="325"/>
      <c r="J1135" s="325"/>
      <c r="K1135" s="325"/>
      <c r="L1135" s="325"/>
      <c r="M1135" s="325"/>
    </row>
    <row r="1136" spans="8:13" ht="15.75">
      <c r="H1136" s="325"/>
      <c r="I1136" s="325"/>
      <c r="J1136" s="325"/>
      <c r="K1136" s="325"/>
      <c r="L1136" s="325"/>
      <c r="M1136" s="325"/>
    </row>
    <row r="1137" spans="8:13" ht="15.75">
      <c r="H1137" s="325"/>
      <c r="I1137" s="325"/>
      <c r="J1137" s="325"/>
      <c r="K1137" s="325"/>
      <c r="L1137" s="325"/>
      <c r="M1137" s="325"/>
    </row>
    <row r="1138" spans="8:13" ht="15.75">
      <c r="H1138" s="325"/>
      <c r="I1138" s="325"/>
      <c r="J1138" s="325"/>
      <c r="K1138" s="325"/>
      <c r="L1138" s="325"/>
      <c r="M1138" s="325"/>
    </row>
    <row r="1139" spans="8:13" ht="15.75">
      <c r="H1139" s="325"/>
      <c r="I1139" s="325"/>
      <c r="J1139" s="325"/>
      <c r="K1139" s="325"/>
      <c r="L1139" s="325"/>
      <c r="M1139" s="325"/>
    </row>
    <row r="1140" spans="8:13" ht="15.75">
      <c r="H1140" s="325"/>
      <c r="I1140" s="325"/>
      <c r="J1140" s="325"/>
      <c r="K1140" s="325"/>
      <c r="L1140" s="325"/>
      <c r="M1140" s="325"/>
    </row>
    <row r="1141" spans="8:13" ht="15.75">
      <c r="H1141" s="325"/>
      <c r="I1141" s="325"/>
      <c r="J1141" s="325"/>
      <c r="K1141" s="325"/>
      <c r="L1141" s="325"/>
      <c r="M1141" s="325"/>
    </row>
    <row r="1142" spans="8:13" ht="15.75">
      <c r="H1142" s="325"/>
      <c r="I1142" s="325"/>
      <c r="J1142" s="325"/>
      <c r="K1142" s="325"/>
      <c r="L1142" s="325"/>
      <c r="M1142" s="325"/>
    </row>
    <row r="1143" spans="8:13" ht="15.75">
      <c r="H1143" s="325"/>
      <c r="I1143" s="325"/>
      <c r="J1143" s="325"/>
      <c r="K1143" s="325"/>
      <c r="L1143" s="325"/>
      <c r="M1143" s="325"/>
    </row>
    <row r="1144" spans="8:13" ht="15.75">
      <c r="H1144" s="325"/>
      <c r="I1144" s="325"/>
      <c r="J1144" s="325"/>
      <c r="K1144" s="325"/>
      <c r="L1144" s="325"/>
      <c r="M1144" s="325"/>
    </row>
    <row r="1145" spans="8:13" ht="15.75">
      <c r="H1145" s="325"/>
      <c r="I1145" s="325"/>
      <c r="J1145" s="325"/>
      <c r="K1145" s="325"/>
      <c r="L1145" s="325"/>
      <c r="M1145" s="325"/>
    </row>
    <row r="1146" spans="8:13" ht="15.75">
      <c r="H1146" s="325"/>
      <c r="I1146" s="325"/>
      <c r="J1146" s="325"/>
      <c r="K1146" s="325"/>
      <c r="L1146" s="325"/>
      <c r="M1146" s="325"/>
    </row>
    <row r="1147" spans="8:13" ht="15.75">
      <c r="H1147" s="325"/>
      <c r="I1147" s="325"/>
      <c r="J1147" s="325"/>
      <c r="K1147" s="325"/>
      <c r="L1147" s="325"/>
      <c r="M1147" s="325"/>
    </row>
    <row r="1148" spans="8:13" ht="15.75">
      <c r="H1148" s="325"/>
      <c r="I1148" s="325"/>
      <c r="J1148" s="325"/>
      <c r="K1148" s="325"/>
      <c r="L1148" s="325"/>
      <c r="M1148" s="325"/>
    </row>
    <row r="1149" spans="8:13" ht="15.75">
      <c r="H1149" s="325"/>
      <c r="I1149" s="325"/>
      <c r="J1149" s="325"/>
      <c r="K1149" s="325"/>
      <c r="L1149" s="325"/>
      <c r="M1149" s="325"/>
    </row>
    <row r="1150" spans="8:13" ht="15.75">
      <c r="H1150" s="325"/>
      <c r="I1150" s="325"/>
      <c r="J1150" s="325"/>
      <c r="K1150" s="325"/>
      <c r="L1150" s="325"/>
      <c r="M1150" s="325"/>
    </row>
    <row r="1151" spans="8:13" ht="15.75">
      <c r="H1151" s="325"/>
      <c r="I1151" s="325"/>
      <c r="J1151" s="325"/>
      <c r="K1151" s="325"/>
      <c r="L1151" s="325"/>
      <c r="M1151" s="325"/>
    </row>
    <row r="1152" spans="8:13" ht="15.75">
      <c r="H1152" s="325"/>
      <c r="I1152" s="325"/>
      <c r="J1152" s="325"/>
      <c r="K1152" s="325"/>
      <c r="L1152" s="325"/>
      <c r="M1152" s="325"/>
    </row>
    <row r="1153" spans="8:13" ht="15.75">
      <c r="H1153" s="325"/>
      <c r="I1153" s="325"/>
      <c r="J1153" s="325"/>
      <c r="K1153" s="325"/>
      <c r="L1153" s="325"/>
      <c r="M1153" s="325"/>
    </row>
    <row r="1154" spans="8:13" ht="15.75">
      <c r="H1154" s="325"/>
      <c r="I1154" s="325"/>
      <c r="J1154" s="325"/>
      <c r="K1154" s="325"/>
      <c r="L1154" s="325"/>
      <c r="M1154" s="325"/>
    </row>
    <row r="1155" spans="8:13" ht="15.75">
      <c r="H1155" s="325"/>
      <c r="I1155" s="325"/>
      <c r="J1155" s="325"/>
      <c r="K1155" s="325"/>
      <c r="L1155" s="325"/>
      <c r="M1155" s="325"/>
    </row>
    <row r="1156" spans="8:13" ht="15.75">
      <c r="H1156" s="325"/>
      <c r="I1156" s="325"/>
      <c r="J1156" s="325"/>
      <c r="K1156" s="325"/>
      <c r="L1156" s="325"/>
      <c r="M1156" s="325"/>
    </row>
    <row r="1157" spans="8:13" ht="15.75">
      <c r="H1157" s="325"/>
      <c r="I1157" s="325"/>
      <c r="J1157" s="325"/>
      <c r="K1157" s="325"/>
      <c r="L1157" s="325"/>
      <c r="M1157" s="325"/>
    </row>
    <row r="1158" spans="8:13" ht="15.75">
      <c r="H1158" s="325"/>
      <c r="I1158" s="325"/>
      <c r="J1158" s="325"/>
      <c r="K1158" s="325"/>
      <c r="L1158" s="325"/>
      <c r="M1158" s="325"/>
    </row>
    <row r="1159" spans="8:13" ht="15.75">
      <c r="H1159" s="325"/>
      <c r="I1159" s="325"/>
      <c r="J1159" s="325"/>
      <c r="K1159" s="325"/>
      <c r="L1159" s="325"/>
      <c r="M1159" s="325"/>
    </row>
    <row r="1160" spans="8:13" ht="15.75">
      <c r="H1160" s="325"/>
      <c r="I1160" s="325"/>
      <c r="J1160" s="325"/>
      <c r="K1160" s="325"/>
      <c r="L1160" s="325"/>
      <c r="M1160" s="325"/>
    </row>
    <row r="1161" spans="8:13" ht="15.75">
      <c r="H1161" s="325"/>
      <c r="I1161" s="325"/>
      <c r="J1161" s="325"/>
      <c r="K1161" s="325"/>
      <c r="L1161" s="325"/>
      <c r="M1161" s="325"/>
    </row>
    <row r="1162" spans="8:13" ht="15.75">
      <c r="H1162" s="325"/>
      <c r="I1162" s="325"/>
      <c r="J1162" s="325"/>
      <c r="K1162" s="325"/>
      <c r="L1162" s="325"/>
      <c r="M1162" s="325"/>
    </row>
    <row r="1163" spans="8:13" ht="15.75">
      <c r="H1163" s="325"/>
      <c r="I1163" s="325"/>
      <c r="J1163" s="325"/>
      <c r="K1163" s="325"/>
      <c r="L1163" s="325"/>
      <c r="M1163" s="325"/>
    </row>
    <row r="1164" spans="8:13" ht="15.75">
      <c r="H1164" s="325"/>
      <c r="I1164" s="325"/>
      <c r="J1164" s="325"/>
      <c r="K1164" s="325"/>
      <c r="L1164" s="325"/>
      <c r="M1164" s="325"/>
    </row>
    <row r="1165" spans="8:13" ht="15.75">
      <c r="H1165" s="325"/>
      <c r="I1165" s="325"/>
      <c r="J1165" s="325"/>
      <c r="K1165" s="325"/>
      <c r="L1165" s="325"/>
      <c r="M1165" s="325"/>
    </row>
    <row r="1166" spans="8:13" ht="15.75">
      <c r="H1166" s="325"/>
      <c r="I1166" s="325"/>
      <c r="J1166" s="325"/>
      <c r="K1166" s="325"/>
      <c r="L1166" s="325"/>
      <c r="M1166" s="325"/>
    </row>
    <row r="1167" spans="8:13" ht="15.75">
      <c r="H1167" s="325"/>
      <c r="I1167" s="325"/>
      <c r="J1167" s="325"/>
      <c r="K1167" s="325"/>
      <c r="L1167" s="325"/>
      <c r="M1167" s="325"/>
    </row>
    <row r="1168" spans="8:13" ht="15.75">
      <c r="H1168" s="325"/>
      <c r="I1168" s="325"/>
      <c r="J1168" s="325"/>
      <c r="K1168" s="325"/>
      <c r="L1168" s="325"/>
      <c r="M1168" s="325"/>
    </row>
    <row r="1169" spans="8:13" ht="15.75">
      <c r="H1169" s="325"/>
      <c r="I1169" s="325"/>
      <c r="J1169" s="325"/>
      <c r="K1169" s="325"/>
      <c r="L1169" s="325"/>
      <c r="M1169" s="325"/>
    </row>
    <row r="1170" spans="8:13" ht="15.75">
      <c r="H1170" s="325"/>
      <c r="I1170" s="325"/>
      <c r="J1170" s="325"/>
      <c r="K1170" s="325"/>
      <c r="L1170" s="325"/>
      <c r="M1170" s="325"/>
    </row>
    <row r="1171" spans="8:13" ht="15.75">
      <c r="H1171" s="325"/>
      <c r="I1171" s="325"/>
      <c r="J1171" s="325"/>
      <c r="K1171" s="325"/>
      <c r="L1171" s="325"/>
      <c r="M1171" s="325"/>
    </row>
    <row r="1172" spans="8:13" ht="15.75">
      <c r="H1172" s="325"/>
      <c r="I1172" s="325"/>
      <c r="J1172" s="325"/>
      <c r="K1172" s="325"/>
      <c r="L1172" s="325"/>
      <c r="M1172" s="325"/>
    </row>
    <row r="1173" spans="8:13" ht="15.75">
      <c r="H1173" s="325"/>
      <c r="I1173" s="325"/>
      <c r="J1173" s="325"/>
      <c r="K1173" s="325"/>
      <c r="L1173" s="325"/>
      <c r="M1173" s="325"/>
    </row>
    <row r="1174" spans="8:13" ht="15.75">
      <c r="H1174" s="325"/>
      <c r="I1174" s="325"/>
      <c r="J1174" s="325"/>
      <c r="K1174" s="325"/>
      <c r="L1174" s="325"/>
      <c r="M1174" s="325"/>
    </row>
    <row r="1175" spans="8:13" ht="15.75">
      <c r="H1175" s="325"/>
      <c r="I1175" s="325"/>
      <c r="J1175" s="325"/>
      <c r="K1175" s="325"/>
      <c r="L1175" s="325"/>
      <c r="M1175" s="325"/>
    </row>
    <row r="1176" spans="8:13" ht="15.75">
      <c r="H1176" s="325"/>
      <c r="I1176" s="325"/>
      <c r="J1176" s="325"/>
      <c r="K1176" s="325"/>
      <c r="L1176" s="325"/>
      <c r="M1176" s="325"/>
    </row>
    <row r="1177" spans="8:13" ht="15.75">
      <c r="H1177" s="325"/>
      <c r="I1177" s="325"/>
      <c r="J1177" s="325"/>
      <c r="K1177" s="325"/>
      <c r="L1177" s="325"/>
      <c r="M1177" s="325"/>
    </row>
    <row r="1178" spans="8:13" ht="15.75">
      <c r="H1178" s="325"/>
      <c r="I1178" s="325"/>
      <c r="J1178" s="325"/>
      <c r="K1178" s="325"/>
      <c r="L1178" s="325"/>
      <c r="M1178" s="325"/>
    </row>
    <row r="1179" spans="8:13" ht="15.75">
      <c r="H1179" s="325"/>
      <c r="I1179" s="325"/>
      <c r="J1179" s="325"/>
      <c r="K1179" s="325"/>
      <c r="L1179" s="325"/>
      <c r="M1179" s="325"/>
    </row>
    <row r="1180" spans="8:13" ht="15.75">
      <c r="H1180" s="325"/>
      <c r="I1180" s="325"/>
      <c r="J1180" s="325"/>
      <c r="K1180" s="325"/>
      <c r="L1180" s="325"/>
      <c r="M1180" s="325"/>
    </row>
    <row r="1181" spans="8:13" ht="15.75">
      <c r="H1181" s="325"/>
      <c r="I1181" s="325"/>
      <c r="J1181" s="325"/>
      <c r="K1181" s="325"/>
      <c r="L1181" s="325"/>
      <c r="M1181" s="325"/>
    </row>
    <row r="1182" spans="8:13" ht="15.75">
      <c r="H1182" s="325"/>
      <c r="I1182" s="325"/>
      <c r="J1182" s="325"/>
      <c r="K1182" s="325"/>
      <c r="L1182" s="325"/>
      <c r="M1182" s="325"/>
    </row>
    <row r="1183" spans="8:13" ht="15.75">
      <c r="H1183" s="325"/>
      <c r="I1183" s="325"/>
      <c r="J1183" s="325"/>
      <c r="K1183" s="325"/>
      <c r="L1183" s="325"/>
      <c r="M1183" s="325"/>
    </row>
    <row r="1184" spans="8:13" ht="15.75">
      <c r="H1184" s="325"/>
      <c r="I1184" s="325"/>
      <c r="J1184" s="325"/>
      <c r="K1184" s="325"/>
      <c r="L1184" s="325"/>
      <c r="M1184" s="325"/>
    </row>
    <row r="1185" spans="8:13" ht="15.75">
      <c r="H1185" s="325"/>
      <c r="I1185" s="325"/>
      <c r="J1185" s="325"/>
      <c r="K1185" s="325"/>
      <c r="L1185" s="325"/>
      <c r="M1185" s="325"/>
    </row>
    <row r="1186" spans="8:13" ht="15.75">
      <c r="H1186" s="325"/>
      <c r="I1186" s="325"/>
      <c r="J1186" s="325"/>
      <c r="K1186" s="325"/>
      <c r="L1186" s="325"/>
      <c r="M1186" s="325"/>
    </row>
    <row r="1187" spans="9:13" ht="15.75">
      <c r="I1187" s="325"/>
      <c r="J1187" s="325"/>
      <c r="K1187" s="325"/>
      <c r="L1187" s="325"/>
      <c r="M1187" s="325"/>
    </row>
    <row r="1188" spans="9:13" ht="15.75">
      <c r="I1188" s="325"/>
      <c r="J1188" s="325"/>
      <c r="K1188" s="325"/>
      <c r="L1188" s="325"/>
      <c r="M1188" s="325"/>
    </row>
    <row r="1189" spans="9:13" ht="15.75">
      <c r="I1189" s="325"/>
      <c r="J1189" s="325"/>
      <c r="K1189" s="325"/>
      <c r="L1189" s="325"/>
      <c r="M1189" s="325"/>
    </row>
    <row r="1190" spans="9:13" ht="15.75">
      <c r="I1190" s="325"/>
      <c r="J1190" s="325"/>
      <c r="K1190" s="325"/>
      <c r="L1190" s="325"/>
      <c r="M1190" s="325"/>
    </row>
    <row r="1191" spans="9:13" ht="15.75">
      <c r="I1191" s="325"/>
      <c r="J1191" s="325"/>
      <c r="K1191" s="325"/>
      <c r="L1191" s="325"/>
      <c r="M1191" s="325"/>
    </row>
    <row r="1192" spans="9:13" ht="15.75">
      <c r="I1192" s="325"/>
      <c r="J1192" s="325"/>
      <c r="K1192" s="325"/>
      <c r="L1192" s="325"/>
      <c r="M1192" s="325"/>
    </row>
    <row r="1193" spans="9:13" ht="15.75">
      <c r="I1193" s="325"/>
      <c r="J1193" s="325"/>
      <c r="K1193" s="325"/>
      <c r="L1193" s="325"/>
      <c r="M1193" s="325"/>
    </row>
    <row r="1194" spans="9:13" ht="15.75">
      <c r="I1194" s="325"/>
      <c r="J1194" s="325"/>
      <c r="K1194" s="325"/>
      <c r="L1194" s="325"/>
      <c r="M1194" s="325"/>
    </row>
    <row r="1195" spans="9:13" ht="15.75">
      <c r="I1195" s="325"/>
      <c r="J1195" s="325"/>
      <c r="K1195" s="325"/>
      <c r="L1195" s="325"/>
      <c r="M1195" s="325"/>
    </row>
    <row r="1196" spans="9:13" ht="15.75">
      <c r="I1196" s="325"/>
      <c r="J1196" s="325"/>
      <c r="K1196" s="325"/>
      <c r="L1196" s="325"/>
      <c r="M1196" s="325"/>
    </row>
    <row r="1197" spans="9:13" ht="15.75">
      <c r="I1197" s="325"/>
      <c r="J1197" s="325"/>
      <c r="K1197" s="325"/>
      <c r="L1197" s="325"/>
      <c r="M1197" s="325"/>
    </row>
    <row r="1198" spans="9:13" ht="15.75">
      <c r="I1198" s="325"/>
      <c r="J1198" s="325"/>
      <c r="K1198" s="325"/>
      <c r="L1198" s="325"/>
      <c r="M1198" s="325"/>
    </row>
    <row r="1199" spans="9:13" ht="15.75">
      <c r="I1199" s="325"/>
      <c r="J1199" s="325"/>
      <c r="K1199" s="325"/>
      <c r="L1199" s="325"/>
      <c r="M1199" s="325"/>
    </row>
    <row r="1200" spans="9:13" ht="15.75">
      <c r="I1200" s="325"/>
      <c r="J1200" s="325"/>
      <c r="K1200" s="325"/>
      <c r="L1200" s="325"/>
      <c r="M1200" s="325"/>
    </row>
    <row r="1201" spans="9:13" ht="15.75">
      <c r="I1201" s="325"/>
      <c r="J1201" s="325"/>
      <c r="K1201" s="325"/>
      <c r="L1201" s="325"/>
      <c r="M1201" s="325"/>
    </row>
    <row r="1202" spans="9:13" ht="15.75">
      <c r="I1202" s="325"/>
      <c r="J1202" s="325"/>
      <c r="K1202" s="325"/>
      <c r="L1202" s="325"/>
      <c r="M1202" s="325"/>
    </row>
    <row r="1203" spans="9:13" ht="15.75">
      <c r="I1203" s="325"/>
      <c r="J1203" s="325"/>
      <c r="K1203" s="325"/>
      <c r="L1203" s="325"/>
      <c r="M1203" s="325"/>
    </row>
    <row r="1204" spans="9:13" ht="15.75">
      <c r="I1204" s="325"/>
      <c r="J1204" s="325"/>
      <c r="K1204" s="325"/>
      <c r="L1204" s="325"/>
      <c r="M1204" s="325"/>
    </row>
    <row r="1205" spans="9:13" ht="15.75">
      <c r="I1205" s="325"/>
      <c r="J1205" s="325"/>
      <c r="K1205" s="325"/>
      <c r="L1205" s="325"/>
      <c r="M1205" s="325"/>
    </row>
    <row r="1206" spans="9:13" ht="15.75">
      <c r="I1206" s="325"/>
      <c r="J1206" s="325"/>
      <c r="K1206" s="325"/>
      <c r="L1206" s="325"/>
      <c r="M1206" s="325"/>
    </row>
    <row r="1207" spans="9:13" ht="15.75">
      <c r="I1207" s="325"/>
      <c r="J1207" s="325"/>
      <c r="K1207" s="325"/>
      <c r="L1207" s="325"/>
      <c r="M1207" s="325"/>
    </row>
    <row r="1208" spans="9:13" ht="15.75">
      <c r="I1208" s="325"/>
      <c r="J1208" s="325"/>
      <c r="K1208" s="325"/>
      <c r="L1208" s="325"/>
      <c r="M1208" s="325"/>
    </row>
    <row r="1209" spans="9:13" ht="15.75">
      <c r="I1209" s="325"/>
      <c r="J1209" s="325"/>
      <c r="K1209" s="325"/>
      <c r="L1209" s="325"/>
      <c r="M1209" s="325"/>
    </row>
    <row r="1210" spans="9:13" ht="15.75">
      <c r="I1210" s="325"/>
      <c r="J1210" s="325"/>
      <c r="K1210" s="325"/>
      <c r="L1210" s="325"/>
      <c r="M1210" s="325"/>
    </row>
    <row r="1211" spans="9:13" ht="15.75">
      <c r="I1211" s="325"/>
      <c r="J1211" s="325"/>
      <c r="K1211" s="325"/>
      <c r="L1211" s="325"/>
      <c r="M1211" s="325"/>
    </row>
    <row r="1212" spans="9:13" ht="15.75">
      <c r="I1212" s="325"/>
      <c r="J1212" s="325"/>
      <c r="K1212" s="325"/>
      <c r="L1212" s="325"/>
      <c r="M1212" s="325"/>
    </row>
    <row r="1213" spans="9:13" ht="15.75">
      <c r="I1213" s="325"/>
      <c r="J1213" s="325"/>
      <c r="K1213" s="325"/>
      <c r="L1213" s="325"/>
      <c r="M1213" s="325"/>
    </row>
    <row r="1214" spans="9:13" ht="15.75">
      <c r="I1214" s="325"/>
      <c r="J1214" s="325"/>
      <c r="K1214" s="325"/>
      <c r="L1214" s="325"/>
      <c r="M1214" s="325"/>
    </row>
    <row r="1215" spans="9:13" ht="15.75">
      <c r="I1215" s="325"/>
      <c r="J1215" s="325"/>
      <c r="K1215" s="325"/>
      <c r="L1215" s="325"/>
      <c r="M1215" s="325"/>
    </row>
    <row r="1216" spans="9:13" ht="15.75">
      <c r="I1216" s="325"/>
      <c r="J1216" s="325"/>
      <c r="K1216" s="325"/>
      <c r="L1216" s="325"/>
      <c r="M1216" s="325"/>
    </row>
    <row r="1217" spans="9:13" ht="15.75">
      <c r="I1217" s="325"/>
      <c r="J1217" s="325"/>
      <c r="K1217" s="325"/>
      <c r="L1217" s="325"/>
      <c r="M1217" s="325"/>
    </row>
    <row r="1218" spans="9:13" ht="15.75">
      <c r="I1218" s="325"/>
      <c r="J1218" s="325"/>
      <c r="K1218" s="325"/>
      <c r="L1218" s="325"/>
      <c r="M1218" s="325"/>
    </row>
    <row r="1219" spans="9:13" ht="15.75">
      <c r="I1219" s="325"/>
      <c r="J1219" s="325"/>
      <c r="K1219" s="325"/>
      <c r="L1219" s="325"/>
      <c r="M1219" s="325"/>
    </row>
    <row r="1220" spans="9:13" ht="15.75">
      <c r="I1220" s="325"/>
      <c r="J1220" s="325"/>
      <c r="K1220" s="325"/>
      <c r="L1220" s="325"/>
      <c r="M1220" s="325"/>
    </row>
    <row r="1221" spans="9:13" ht="15.75">
      <c r="I1221" s="325"/>
      <c r="J1221" s="325"/>
      <c r="K1221" s="325"/>
      <c r="L1221" s="325"/>
      <c r="M1221" s="325"/>
    </row>
    <row r="1222" spans="9:13" ht="15.75">
      <c r="I1222" s="325"/>
      <c r="J1222" s="325"/>
      <c r="K1222" s="325"/>
      <c r="L1222" s="325"/>
      <c r="M1222" s="325"/>
    </row>
    <row r="1223" spans="9:13" ht="15.75">
      <c r="I1223" s="325"/>
      <c r="J1223" s="325"/>
      <c r="K1223" s="325"/>
      <c r="L1223" s="325"/>
      <c r="M1223" s="325"/>
    </row>
    <row r="1224" spans="9:13" ht="15.75">
      <c r="I1224" s="325"/>
      <c r="J1224" s="325"/>
      <c r="K1224" s="325"/>
      <c r="L1224" s="325"/>
      <c r="M1224" s="325"/>
    </row>
    <row r="1225" spans="9:13" ht="15.75">
      <c r="I1225" s="325"/>
      <c r="J1225" s="325"/>
      <c r="K1225" s="325"/>
      <c r="L1225" s="325"/>
      <c r="M1225" s="325"/>
    </row>
    <row r="1226" spans="9:13" ht="15.75">
      <c r="I1226" s="325"/>
      <c r="J1226" s="325"/>
      <c r="K1226" s="325"/>
      <c r="L1226" s="325"/>
      <c r="M1226" s="325"/>
    </row>
    <row r="1227" spans="9:13" ht="15.75">
      <c r="I1227" s="325"/>
      <c r="J1227" s="325"/>
      <c r="K1227" s="325"/>
      <c r="L1227" s="325"/>
      <c r="M1227" s="325"/>
    </row>
    <row r="1228" spans="9:13" ht="15.75">
      <c r="I1228" s="325"/>
      <c r="J1228" s="325"/>
      <c r="K1228" s="325"/>
      <c r="L1228" s="325"/>
      <c r="M1228" s="325"/>
    </row>
    <row r="1229" spans="9:13" ht="15.75">
      <c r="I1229" s="325"/>
      <c r="J1229" s="325"/>
      <c r="K1229" s="325"/>
      <c r="L1229" s="325"/>
      <c r="M1229" s="325"/>
    </row>
    <row r="1230" spans="9:13" ht="15.75">
      <c r="I1230" s="325"/>
      <c r="J1230" s="325"/>
      <c r="K1230" s="325"/>
      <c r="L1230" s="325"/>
      <c r="M1230" s="325"/>
    </row>
    <row r="1231" spans="9:13" ht="15.75">
      <c r="I1231" s="325"/>
      <c r="J1231" s="325"/>
      <c r="K1231" s="325"/>
      <c r="L1231" s="325"/>
      <c r="M1231" s="325"/>
    </row>
    <row r="1232" spans="9:13" ht="15.75">
      <c r="I1232" s="325"/>
      <c r="J1232" s="325"/>
      <c r="K1232" s="325"/>
      <c r="L1232" s="325"/>
      <c r="M1232" s="325"/>
    </row>
    <row r="1233" spans="9:13" ht="15.75">
      <c r="I1233" s="325"/>
      <c r="J1233" s="325"/>
      <c r="K1233" s="325"/>
      <c r="L1233" s="325"/>
      <c r="M1233" s="325"/>
    </row>
    <row r="1234" spans="9:13" ht="15.75">
      <c r="I1234" s="325"/>
      <c r="J1234" s="325"/>
      <c r="K1234" s="325"/>
      <c r="L1234" s="325"/>
      <c r="M1234" s="325"/>
    </row>
    <row r="1235" spans="9:13" ht="15.75">
      <c r="I1235" s="325"/>
      <c r="J1235" s="325"/>
      <c r="K1235" s="325"/>
      <c r="L1235" s="325"/>
      <c r="M1235" s="325"/>
    </row>
    <row r="1236" spans="9:13" ht="15.75">
      <c r="I1236" s="325"/>
      <c r="J1236" s="325"/>
      <c r="K1236" s="325"/>
      <c r="L1236" s="325"/>
      <c r="M1236" s="325"/>
    </row>
    <row r="1237" spans="9:13" ht="15.75">
      <c r="I1237" s="325"/>
      <c r="J1237" s="325"/>
      <c r="K1237" s="325"/>
      <c r="L1237" s="325"/>
      <c r="M1237" s="325"/>
    </row>
    <row r="1238" spans="9:13" ht="15.75">
      <c r="I1238" s="325"/>
      <c r="J1238" s="325"/>
      <c r="K1238" s="325"/>
      <c r="L1238" s="325"/>
      <c r="M1238" s="325"/>
    </row>
    <row r="1239" spans="9:13" ht="15.75">
      <c r="I1239" s="325"/>
      <c r="J1239" s="325"/>
      <c r="K1239" s="325"/>
      <c r="L1239" s="325"/>
      <c r="M1239" s="325"/>
    </row>
    <row r="1240" spans="9:13" ht="15.75">
      <c r="I1240" s="325"/>
      <c r="J1240" s="325"/>
      <c r="K1240" s="325"/>
      <c r="L1240" s="325"/>
      <c r="M1240" s="325"/>
    </row>
    <row r="1241" spans="9:13" ht="15.75">
      <c r="I1241" s="325"/>
      <c r="J1241" s="325"/>
      <c r="K1241" s="325"/>
      <c r="L1241" s="325"/>
      <c r="M1241" s="325"/>
    </row>
    <row r="1242" spans="9:13" ht="15.75">
      <c r="I1242" s="325"/>
      <c r="J1242" s="325"/>
      <c r="K1242" s="325"/>
      <c r="L1242" s="325"/>
      <c r="M1242" s="325"/>
    </row>
    <row r="1243" spans="9:13" ht="15.75">
      <c r="I1243" s="325"/>
      <c r="J1243" s="325"/>
      <c r="K1243" s="325"/>
      <c r="L1243" s="325"/>
      <c r="M1243" s="325"/>
    </row>
    <row r="1244" spans="9:13" ht="15.75">
      <c r="I1244" s="325"/>
      <c r="J1244" s="325"/>
      <c r="K1244" s="325"/>
      <c r="L1244" s="325"/>
      <c r="M1244" s="325"/>
    </row>
    <row r="1245" spans="9:13" ht="15.75">
      <c r="I1245" s="325"/>
      <c r="J1245" s="325"/>
      <c r="K1245" s="325"/>
      <c r="L1245" s="325"/>
      <c r="M1245" s="325"/>
    </row>
    <row r="1246" spans="9:13" ht="15.75">
      <c r="I1246" s="325"/>
      <c r="J1246" s="325"/>
      <c r="K1246" s="325"/>
      <c r="L1246" s="325"/>
      <c r="M1246" s="325"/>
    </row>
    <row r="1247" spans="9:13" ht="15.75">
      <c r="I1247" s="325"/>
      <c r="J1247" s="325"/>
      <c r="K1247" s="325"/>
      <c r="L1247" s="325"/>
      <c r="M1247" s="325"/>
    </row>
    <row r="1248" spans="9:13" ht="15.75">
      <c r="I1248" s="325"/>
      <c r="J1248" s="325"/>
      <c r="K1248" s="325"/>
      <c r="L1248" s="325"/>
      <c r="M1248" s="325"/>
    </row>
    <row r="1249" spans="9:13" ht="15.75">
      <c r="I1249" s="325"/>
      <c r="J1249" s="325"/>
      <c r="K1249" s="325"/>
      <c r="L1249" s="325"/>
      <c r="M1249" s="325"/>
    </row>
    <row r="1250" spans="9:13" ht="15.75">
      <c r="I1250" s="325"/>
      <c r="J1250" s="325"/>
      <c r="K1250" s="325"/>
      <c r="L1250" s="325"/>
      <c r="M1250" s="325"/>
    </row>
    <row r="1251" spans="9:13" ht="15.75">
      <c r="I1251" s="325"/>
      <c r="J1251" s="325"/>
      <c r="K1251" s="325"/>
      <c r="L1251" s="325"/>
      <c r="M1251" s="325"/>
    </row>
    <row r="1252" spans="9:13" ht="15.75">
      <c r="I1252" s="325"/>
      <c r="J1252" s="325"/>
      <c r="K1252" s="325"/>
      <c r="L1252" s="325"/>
      <c r="M1252" s="325"/>
    </row>
    <row r="1253" spans="9:13" ht="15.75">
      <c r="I1253" s="325"/>
      <c r="J1253" s="325"/>
      <c r="K1253" s="325"/>
      <c r="L1253" s="325"/>
      <c r="M1253" s="325"/>
    </row>
    <row r="1254" spans="9:13" ht="15.75">
      <c r="I1254" s="325"/>
      <c r="J1254" s="325"/>
      <c r="K1254" s="325"/>
      <c r="L1254" s="325"/>
      <c r="M1254" s="325"/>
    </row>
    <row r="1255" spans="9:13" ht="15.75">
      <c r="I1255" s="325"/>
      <c r="J1255" s="325"/>
      <c r="K1255" s="325"/>
      <c r="L1255" s="325"/>
      <c r="M1255" s="325"/>
    </row>
    <row r="1256" spans="9:13" ht="15.75">
      <c r="I1256" s="325"/>
      <c r="J1256" s="325"/>
      <c r="K1256" s="325"/>
      <c r="L1256" s="325"/>
      <c r="M1256" s="325"/>
    </row>
    <row r="1257" spans="9:13" ht="15.75">
      <c r="I1257" s="325"/>
      <c r="J1257" s="325"/>
      <c r="K1257" s="325"/>
      <c r="L1257" s="325"/>
      <c r="M1257" s="325"/>
    </row>
    <row r="1258" spans="9:13" ht="15.75">
      <c r="I1258" s="325"/>
      <c r="J1258" s="325"/>
      <c r="K1258" s="325"/>
      <c r="L1258" s="325"/>
      <c r="M1258" s="325"/>
    </row>
    <row r="1259" spans="9:13" ht="15.75">
      <c r="I1259" s="325"/>
      <c r="J1259" s="325"/>
      <c r="K1259" s="325"/>
      <c r="L1259" s="325"/>
      <c r="M1259" s="325"/>
    </row>
    <row r="1260" spans="9:13" ht="15.75">
      <c r="I1260" s="325"/>
      <c r="J1260" s="325"/>
      <c r="K1260" s="325"/>
      <c r="L1260" s="325"/>
      <c r="M1260" s="325"/>
    </row>
    <row r="1261" spans="9:13" ht="15.75">
      <c r="I1261" s="325"/>
      <c r="J1261" s="325"/>
      <c r="K1261" s="325"/>
      <c r="L1261" s="325"/>
      <c r="M1261" s="325"/>
    </row>
    <row r="1262" spans="9:13" ht="15.75">
      <c r="I1262" s="325"/>
      <c r="J1262" s="325"/>
      <c r="K1262" s="325"/>
      <c r="L1262" s="325"/>
      <c r="M1262" s="325"/>
    </row>
    <row r="1263" spans="9:13" ht="15.75">
      <c r="I1263" s="325"/>
      <c r="J1263" s="325"/>
      <c r="K1263" s="325"/>
      <c r="L1263" s="325"/>
      <c r="M1263" s="325"/>
    </row>
    <row r="1264" spans="9:13" ht="15.75">
      <c r="I1264" s="325"/>
      <c r="J1264" s="325"/>
      <c r="K1264" s="325"/>
      <c r="L1264" s="325"/>
      <c r="M1264" s="325"/>
    </row>
    <row r="1265" spans="9:13" ht="15.75">
      <c r="I1265" s="325"/>
      <c r="J1265" s="325"/>
      <c r="K1265" s="325"/>
      <c r="L1265" s="325"/>
      <c r="M1265" s="325"/>
    </row>
    <row r="1266" spans="9:13" ht="15.75">
      <c r="I1266" s="325"/>
      <c r="J1266" s="325"/>
      <c r="K1266" s="325"/>
      <c r="L1266" s="325"/>
      <c r="M1266" s="325"/>
    </row>
    <row r="1267" spans="9:13" ht="15.75">
      <c r="I1267" s="325"/>
      <c r="J1267" s="325"/>
      <c r="K1267" s="325"/>
      <c r="L1267" s="325"/>
      <c r="M1267" s="325"/>
    </row>
    <row r="1268" spans="9:13" ht="15.75">
      <c r="I1268" s="325"/>
      <c r="J1268" s="325"/>
      <c r="K1268" s="325"/>
      <c r="L1268" s="325"/>
      <c r="M1268" s="325"/>
    </row>
    <row r="1269" spans="9:13" ht="15.75">
      <c r="I1269" s="325"/>
      <c r="J1269" s="325"/>
      <c r="K1269" s="325"/>
      <c r="L1269" s="325"/>
      <c r="M1269" s="325"/>
    </row>
    <row r="1270" spans="9:13" ht="15.75">
      <c r="I1270" s="325"/>
      <c r="J1270" s="325"/>
      <c r="K1270" s="325"/>
      <c r="L1270" s="325"/>
      <c r="M1270" s="325"/>
    </row>
    <row r="1271" spans="9:13" ht="15.75">
      <c r="I1271" s="325"/>
      <c r="J1271" s="325"/>
      <c r="K1271" s="325"/>
      <c r="L1271" s="325"/>
      <c r="M1271" s="325"/>
    </row>
    <row r="1272" spans="9:13" ht="15.75">
      <c r="I1272" s="325"/>
      <c r="J1272" s="325"/>
      <c r="K1272" s="325"/>
      <c r="L1272" s="325"/>
      <c r="M1272" s="325"/>
    </row>
    <row r="1273" spans="9:13" ht="15.75">
      <c r="I1273" s="325"/>
      <c r="J1273" s="325"/>
      <c r="K1273" s="325"/>
      <c r="L1273" s="325"/>
      <c r="M1273" s="325"/>
    </row>
    <row r="1274" spans="9:13" ht="15.75">
      <c r="I1274" s="325"/>
      <c r="J1274" s="325"/>
      <c r="K1274" s="325"/>
      <c r="L1274" s="325"/>
      <c r="M1274" s="325"/>
    </row>
    <row r="1275" spans="9:13" ht="15.75">
      <c r="I1275" s="325"/>
      <c r="J1275" s="325"/>
      <c r="K1275" s="325"/>
      <c r="L1275" s="325"/>
      <c r="M1275" s="325"/>
    </row>
    <row r="1276" spans="9:13" ht="15.75">
      <c r="I1276" s="325"/>
      <c r="J1276" s="325"/>
      <c r="K1276" s="325"/>
      <c r="L1276" s="325"/>
      <c r="M1276" s="325"/>
    </row>
    <row r="1277" spans="9:13" ht="15.75">
      <c r="I1277" s="325"/>
      <c r="J1277" s="325"/>
      <c r="K1277" s="325"/>
      <c r="L1277" s="325"/>
      <c r="M1277" s="325"/>
    </row>
    <row r="1278" spans="9:13" ht="15.75">
      <c r="I1278" s="325"/>
      <c r="J1278" s="325"/>
      <c r="K1278" s="325"/>
      <c r="L1278" s="325"/>
      <c r="M1278" s="325"/>
    </row>
    <row r="1279" spans="9:13" ht="15.75">
      <c r="I1279" s="325"/>
      <c r="J1279" s="325"/>
      <c r="K1279" s="325"/>
      <c r="L1279" s="325"/>
      <c r="M1279" s="325"/>
    </row>
    <row r="1280" spans="9:13" ht="15.75">
      <c r="I1280" s="325"/>
      <c r="J1280" s="325"/>
      <c r="K1280" s="325"/>
      <c r="L1280" s="325"/>
      <c r="M1280" s="325"/>
    </row>
    <row r="1281" spans="9:13" ht="15.75">
      <c r="I1281" s="325"/>
      <c r="J1281" s="325"/>
      <c r="K1281" s="325"/>
      <c r="L1281" s="325"/>
      <c r="M1281" s="325"/>
    </row>
    <row r="1282" spans="9:13" ht="15.75">
      <c r="I1282" s="325"/>
      <c r="J1282" s="325"/>
      <c r="K1282" s="325"/>
      <c r="L1282" s="325"/>
      <c r="M1282" s="325"/>
    </row>
    <row r="1283" spans="9:13" ht="15.75">
      <c r="I1283" s="325"/>
      <c r="J1283" s="325"/>
      <c r="K1283" s="325"/>
      <c r="L1283" s="325"/>
      <c r="M1283" s="325"/>
    </row>
    <row r="1284" spans="9:13" ht="15.75">
      <c r="I1284" s="325"/>
      <c r="J1284" s="325"/>
      <c r="K1284" s="325"/>
      <c r="L1284" s="325"/>
      <c r="M1284" s="325"/>
    </row>
    <row r="1285" spans="9:13" ht="15.75">
      <c r="I1285" s="325"/>
      <c r="J1285" s="325"/>
      <c r="K1285" s="325"/>
      <c r="L1285" s="325"/>
      <c r="M1285" s="325"/>
    </row>
    <row r="1286" spans="9:13" ht="15.75">
      <c r="I1286" s="325"/>
      <c r="J1286" s="325"/>
      <c r="K1286" s="325"/>
      <c r="L1286" s="325"/>
      <c r="M1286" s="325"/>
    </row>
    <row r="1287" spans="9:13" ht="15.75">
      <c r="I1287" s="325"/>
      <c r="J1287" s="325"/>
      <c r="K1287" s="325"/>
      <c r="L1287" s="325"/>
      <c r="M1287" s="325"/>
    </row>
    <row r="1288" spans="9:13" ht="15.75">
      <c r="I1288" s="325"/>
      <c r="J1288" s="325"/>
      <c r="K1288" s="325"/>
      <c r="L1288" s="325"/>
      <c r="M1288" s="325"/>
    </row>
    <row r="1289" spans="9:13" ht="15.75">
      <c r="I1289" s="325"/>
      <c r="J1289" s="325"/>
      <c r="K1289" s="325"/>
      <c r="L1289" s="325"/>
      <c r="M1289" s="325"/>
    </row>
    <row r="1290" spans="9:13" ht="15.75">
      <c r="I1290" s="325"/>
      <c r="J1290" s="325"/>
      <c r="K1290" s="325"/>
      <c r="L1290" s="325"/>
      <c r="M1290" s="325"/>
    </row>
    <row r="1291" spans="9:13" ht="15.75">
      <c r="I1291" s="325"/>
      <c r="J1291" s="325"/>
      <c r="K1291" s="325"/>
      <c r="L1291" s="325"/>
      <c r="M1291" s="325"/>
    </row>
    <row r="1292" spans="9:13" ht="15.75">
      <c r="I1292" s="325"/>
      <c r="J1292" s="325"/>
      <c r="K1292" s="325"/>
      <c r="L1292" s="325"/>
      <c r="M1292" s="325"/>
    </row>
    <row r="1293" spans="9:13" ht="15.75">
      <c r="I1293" s="325"/>
      <c r="J1293" s="325"/>
      <c r="K1293" s="325"/>
      <c r="L1293" s="325"/>
      <c r="M1293" s="325"/>
    </row>
    <row r="1294" spans="9:13" ht="15.75">
      <c r="I1294" s="325"/>
      <c r="J1294" s="325"/>
      <c r="K1294" s="325"/>
      <c r="L1294" s="325"/>
      <c r="M1294" s="325"/>
    </row>
    <row r="1295" spans="9:13" ht="15.75">
      <c r="I1295" s="325"/>
      <c r="J1295" s="325"/>
      <c r="K1295" s="325"/>
      <c r="L1295" s="325"/>
      <c r="M1295" s="325"/>
    </row>
    <row r="1296" spans="9:13" ht="15.75">
      <c r="I1296" s="325"/>
      <c r="J1296" s="325"/>
      <c r="K1296" s="325"/>
      <c r="L1296" s="325"/>
      <c r="M1296" s="325"/>
    </row>
    <row r="1297" spans="9:13" ht="15.75">
      <c r="I1297" s="325"/>
      <c r="J1297" s="325"/>
      <c r="K1297" s="325"/>
      <c r="L1297" s="325"/>
      <c r="M1297" s="325"/>
    </row>
    <row r="1298" spans="9:13" ht="15.75">
      <c r="I1298" s="325"/>
      <c r="J1298" s="325"/>
      <c r="K1298" s="325"/>
      <c r="L1298" s="325"/>
      <c r="M1298" s="325"/>
    </row>
    <row r="1299" spans="9:13" ht="15.75">
      <c r="I1299" s="325"/>
      <c r="J1299" s="325"/>
      <c r="K1299" s="325"/>
      <c r="L1299" s="325"/>
      <c r="M1299" s="325"/>
    </row>
    <row r="1300" spans="9:13" ht="15.75">
      <c r="I1300" s="325"/>
      <c r="J1300" s="325"/>
      <c r="K1300" s="325"/>
      <c r="L1300" s="325"/>
      <c r="M1300" s="325"/>
    </row>
    <row r="1301" spans="9:13" ht="15.75">
      <c r="I1301" s="325"/>
      <c r="J1301" s="325"/>
      <c r="K1301" s="325"/>
      <c r="L1301" s="325"/>
      <c r="M1301" s="325"/>
    </row>
    <row r="1302" spans="9:13" ht="15.75">
      <c r="I1302" s="325"/>
      <c r="J1302" s="325"/>
      <c r="K1302" s="325"/>
      <c r="L1302" s="325"/>
      <c r="M1302" s="325"/>
    </row>
    <row r="1303" spans="9:13" ht="15.75">
      <c r="I1303" s="325"/>
      <c r="J1303" s="325"/>
      <c r="K1303" s="325"/>
      <c r="L1303" s="325"/>
      <c r="M1303" s="325"/>
    </row>
    <row r="1304" spans="9:13" ht="15.75">
      <c r="I1304" s="325"/>
      <c r="J1304" s="325"/>
      <c r="K1304" s="325"/>
      <c r="L1304" s="325"/>
      <c r="M1304" s="325"/>
    </row>
    <row r="1305" spans="9:13" ht="15.75">
      <c r="I1305" s="325"/>
      <c r="J1305" s="325"/>
      <c r="K1305" s="325"/>
      <c r="L1305" s="325"/>
      <c r="M1305" s="325"/>
    </row>
    <row r="1306" spans="9:13" ht="15.75">
      <c r="I1306" s="325"/>
      <c r="J1306" s="325"/>
      <c r="K1306" s="325"/>
      <c r="L1306" s="325"/>
      <c r="M1306" s="325"/>
    </row>
  </sheetData>
  <mergeCells count="3">
    <mergeCell ref="E264:F264"/>
    <mergeCell ref="A23:A24"/>
    <mergeCell ref="G263:H263"/>
  </mergeCells>
  <printOptions gridLines="1" horizontalCentered="1"/>
  <pageMargins left="0.3937007874015748" right="0.3937007874015748" top="0.8661417322834646" bottom="0.7086614173228347" header="0.31496062992125984" footer="0.2362204724409449"/>
  <pageSetup fitToHeight="2" fitToWidth="1" horizontalDpi="600" verticalDpi="600" orientation="portrait" paperSize="9" scale="27" r:id="rId1"/>
  <headerFooter alignWithMargins="0">
    <oddHeader>&amp;L&amp;"Tahoma,Navadno"&amp;14&amp;D&amp;C&amp;"Tahoma,Krepko"INFORMATIVNI AMORTIZACIJSKI NAČRT&amp;R&amp;"Banka Koper,Regular"&amp;22A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6"/>
  <sheetViews>
    <sheetView zoomScale="53" zoomScaleNormal="53" zoomScaleSheetLayoutView="35" workbookViewId="0" topLeftCell="A1">
      <pane ySplit="24" topLeftCell="BM103" activePane="bottomLeft" state="frozen"/>
      <selection pane="topLeft" activeCell="C142" sqref="C142"/>
      <selection pane="bottomLeft" activeCell="H135" sqref="H135"/>
    </sheetView>
  </sheetViews>
  <sheetFormatPr defaultColWidth="45.140625" defaultRowHeight="12.75"/>
  <cols>
    <col min="1" max="1" width="22.28125" style="240" customWidth="1"/>
    <col min="2" max="2" width="19.00390625" style="240" customWidth="1"/>
    <col min="3" max="3" width="30.57421875" style="240" customWidth="1"/>
    <col min="4" max="4" width="25.57421875" style="240" customWidth="1"/>
    <col min="5" max="5" width="31.28125" style="240" customWidth="1"/>
    <col min="6" max="6" width="36.8515625" style="240" customWidth="1"/>
    <col min="7" max="7" width="38.28125" style="240" customWidth="1"/>
    <col min="8" max="8" width="36.8515625" style="240" customWidth="1"/>
    <col min="9" max="9" width="28.7109375" style="240" customWidth="1"/>
    <col min="10" max="10" width="29.28125" style="240" customWidth="1"/>
    <col min="11" max="11" width="27.57421875" style="240" customWidth="1"/>
    <col min="12" max="16384" width="45.140625" style="240" customWidth="1"/>
  </cols>
  <sheetData>
    <row r="1" spans="1:11" s="231" customFormat="1" ht="24.75" customHeight="1">
      <c r="A1" s="236" t="s">
        <v>364</v>
      </c>
      <c r="B1" s="237"/>
      <c r="C1" s="237"/>
      <c r="D1" s="237"/>
      <c r="E1" s="237"/>
      <c r="F1" s="237"/>
      <c r="G1" s="230"/>
      <c r="H1" s="237"/>
      <c r="I1" s="237"/>
      <c r="J1" s="237"/>
      <c r="K1" s="230"/>
    </row>
    <row r="2" spans="1:11" ht="19.5" customHeight="1">
      <c r="A2" s="232"/>
      <c r="B2" s="238"/>
      <c r="C2" s="238"/>
      <c r="D2" s="238"/>
      <c r="E2" s="238"/>
      <c r="F2" s="238"/>
      <c r="G2" s="239"/>
      <c r="H2" s="238"/>
      <c r="I2" s="238"/>
      <c r="J2" s="238"/>
      <c r="K2" s="238"/>
    </row>
    <row r="3" spans="1:11" s="247" customFormat="1" ht="19.5" customHeight="1">
      <c r="A3" s="241" t="s">
        <v>365</v>
      </c>
      <c r="B3" s="242"/>
      <c r="C3" s="243" t="s">
        <v>366</v>
      </c>
      <c r="D3" s="244">
        <v>41244</v>
      </c>
      <c r="E3" s="245">
        <v>43801</v>
      </c>
      <c r="F3" s="246" t="s">
        <v>367</v>
      </c>
      <c r="H3" s="242"/>
      <c r="I3" s="242"/>
      <c r="J3" s="242"/>
      <c r="K3" s="248"/>
    </row>
    <row r="4" spans="1:11" s="247" customFormat="1" ht="19.5" customHeight="1">
      <c r="A4" s="249"/>
      <c r="B4" s="248"/>
      <c r="C4" s="249"/>
      <c r="D4" s="250"/>
      <c r="E4" s="250"/>
      <c r="F4" s="251" t="s">
        <v>403</v>
      </c>
      <c r="H4" s="242"/>
      <c r="I4" s="242"/>
      <c r="J4" s="242"/>
      <c r="K4" s="248"/>
    </row>
    <row r="5" spans="1:11" s="247" customFormat="1" ht="19.5" customHeight="1">
      <c r="A5" s="249"/>
      <c r="B5" s="248"/>
      <c r="C5" s="252"/>
      <c r="D5" s="248"/>
      <c r="E5" s="248"/>
      <c r="F5" s="251"/>
      <c r="H5" s="242"/>
      <c r="I5" s="242"/>
      <c r="J5" s="242"/>
      <c r="K5" s="248"/>
    </row>
    <row r="6" spans="1:11" s="261" customFormat="1" ht="19.5" customHeight="1">
      <c r="A6" s="253" t="s">
        <v>369</v>
      </c>
      <c r="B6" s="254"/>
      <c r="C6" s="255">
        <v>60666</v>
      </c>
      <c r="D6" s="259" t="s">
        <v>211</v>
      </c>
      <c r="E6" s="260"/>
      <c r="F6" s="251" t="s">
        <v>370</v>
      </c>
      <c r="H6" s="259"/>
      <c r="I6" s="259"/>
      <c r="J6" s="259"/>
      <c r="K6" s="262"/>
    </row>
    <row r="7" spans="1:11" s="261" customFormat="1" ht="19.5" customHeight="1">
      <c r="A7" s="253"/>
      <c r="B7" s="254"/>
      <c r="C7" s="255"/>
      <c r="D7" s="259"/>
      <c r="E7" s="260"/>
      <c r="F7" s="251" t="s">
        <v>371</v>
      </c>
      <c r="H7" s="259"/>
      <c r="I7" s="259"/>
      <c r="J7" s="259"/>
      <c r="K7" s="262"/>
    </row>
    <row r="8" spans="1:11" s="261" customFormat="1" ht="19.5" customHeight="1">
      <c r="A8" s="253" t="s">
        <v>372</v>
      </c>
      <c r="B8" s="254"/>
      <c r="C8" s="263">
        <v>0.01809</v>
      </c>
      <c r="D8" s="259"/>
      <c r="E8" s="251" t="s">
        <v>373</v>
      </c>
      <c r="F8" s="262"/>
      <c r="G8" s="251"/>
      <c r="H8" s="264"/>
      <c r="I8" s="264"/>
      <c r="J8" s="264"/>
      <c r="K8" s="265"/>
    </row>
    <row r="9" spans="1:11" s="261" customFormat="1" ht="19.5" customHeight="1">
      <c r="A9" s="253"/>
      <c r="B9" s="254"/>
      <c r="C9" s="263"/>
      <c r="D9" s="259"/>
      <c r="E9" s="251" t="s">
        <v>374</v>
      </c>
      <c r="F9" s="262"/>
      <c r="G9" s="242"/>
      <c r="H9" s="264"/>
      <c r="I9" s="264"/>
      <c r="J9" s="264"/>
      <c r="K9" s="265"/>
    </row>
    <row r="10" spans="1:11" s="261" customFormat="1" ht="19.5" customHeight="1">
      <c r="A10" s="266" t="s">
        <v>375</v>
      </c>
      <c r="B10" s="254"/>
      <c r="C10" s="267">
        <v>84</v>
      </c>
      <c r="D10" s="253" t="s">
        <v>376</v>
      </c>
      <c r="E10" s="260"/>
      <c r="F10" s="262"/>
      <c r="K10" s="265"/>
    </row>
    <row r="11" spans="1:11" s="261" customFormat="1" ht="19.5" customHeight="1">
      <c r="A11" s="253" t="s">
        <v>377</v>
      </c>
      <c r="B11" s="254"/>
      <c r="C11" s="267"/>
      <c r="D11" s="253" t="s">
        <v>376</v>
      </c>
      <c r="E11" s="260"/>
      <c r="F11" s="262"/>
      <c r="I11" s="268"/>
      <c r="J11" s="269"/>
      <c r="K11" s="265"/>
    </row>
    <row r="12" spans="1:11" s="261" customFormat="1" ht="19.5" customHeight="1">
      <c r="A12" s="253" t="s">
        <v>378</v>
      </c>
      <c r="B12" s="254"/>
      <c r="C12" s="267">
        <v>84</v>
      </c>
      <c r="D12" s="259"/>
      <c r="K12" s="265"/>
    </row>
    <row r="13" spans="1:11" s="261" customFormat="1" ht="19.5" customHeight="1">
      <c r="A13" s="253" t="s">
        <v>379</v>
      </c>
      <c r="B13" s="254"/>
      <c r="C13" s="270">
        <f>C6/C12</f>
        <v>722.2142857142857</v>
      </c>
      <c r="D13" s="259" t="s">
        <v>211</v>
      </c>
      <c r="K13" s="265"/>
    </row>
    <row r="14" spans="1:11" s="261" customFormat="1" ht="19.5" customHeight="1">
      <c r="A14" s="271"/>
      <c r="B14" s="254"/>
      <c r="C14" s="270"/>
      <c r="D14" s="260"/>
      <c r="K14" s="262"/>
    </row>
    <row r="15" spans="3:11" s="261" customFormat="1" ht="19.5" customHeight="1">
      <c r="C15" s="272"/>
      <c r="E15" s="273"/>
      <c r="F15" s="274" t="s">
        <v>380</v>
      </c>
      <c r="G15" s="273"/>
      <c r="H15" s="274" t="s">
        <v>380</v>
      </c>
      <c r="K15" s="262"/>
    </row>
    <row r="16" spans="1:11" s="261" customFormat="1" ht="19.5" customHeight="1">
      <c r="A16" s="275"/>
      <c r="B16" s="276"/>
      <c r="C16" s="277"/>
      <c r="D16" s="278"/>
      <c r="E16" s="279" t="s">
        <v>261</v>
      </c>
      <c r="F16" s="280">
        <v>365</v>
      </c>
      <c r="G16" s="279" t="s">
        <v>266</v>
      </c>
      <c r="H16" s="281">
        <v>365</v>
      </c>
      <c r="K16" s="259"/>
    </row>
    <row r="17" spans="1:11" s="261" customFormat="1" ht="19.5" customHeight="1">
      <c r="A17" s="275"/>
      <c r="B17" s="276"/>
      <c r="C17" s="282"/>
      <c r="D17" s="278"/>
      <c r="E17" s="283" t="s">
        <v>262</v>
      </c>
      <c r="F17" s="284">
        <v>365</v>
      </c>
      <c r="G17" s="283" t="s">
        <v>267</v>
      </c>
      <c r="H17" s="281">
        <v>365</v>
      </c>
      <c r="K17" s="259"/>
    </row>
    <row r="18" spans="1:11" s="261" customFormat="1" ht="19.5" customHeight="1">
      <c r="A18" s="253"/>
      <c r="B18" s="254"/>
      <c r="C18" s="285"/>
      <c r="D18" s="278"/>
      <c r="E18" s="283" t="s">
        <v>263</v>
      </c>
      <c r="F18" s="284">
        <v>365</v>
      </c>
      <c r="G18" s="283" t="s">
        <v>268</v>
      </c>
      <c r="H18" s="281">
        <v>366</v>
      </c>
      <c r="I18" s="286"/>
      <c r="J18" s="287"/>
      <c r="K18" s="259"/>
    </row>
    <row r="19" spans="1:11" s="261" customFormat="1" ht="19.5" customHeight="1">
      <c r="A19" s="253"/>
      <c r="B19" s="254"/>
      <c r="C19" s="285"/>
      <c r="D19" s="278"/>
      <c r="E19" s="283" t="s">
        <v>264</v>
      </c>
      <c r="F19" s="284">
        <v>366</v>
      </c>
      <c r="G19" s="283" t="s">
        <v>381</v>
      </c>
      <c r="H19" s="281">
        <v>365</v>
      </c>
      <c r="I19" s="286"/>
      <c r="J19" s="287"/>
      <c r="K19" s="259"/>
    </row>
    <row r="20" spans="1:11" s="261" customFormat="1" ht="19.5" customHeight="1">
      <c r="A20" s="253"/>
      <c r="B20" s="254"/>
      <c r="C20" s="285"/>
      <c r="D20" s="278"/>
      <c r="E20" s="288" t="s">
        <v>265</v>
      </c>
      <c r="F20" s="289">
        <v>365</v>
      </c>
      <c r="G20" s="288" t="s">
        <v>382</v>
      </c>
      <c r="H20" s="290">
        <v>365</v>
      </c>
      <c r="I20" s="286"/>
      <c r="J20" s="287"/>
      <c r="K20" s="259"/>
    </row>
    <row r="21" spans="1:11" s="261" customFormat="1" ht="19.5" customHeight="1">
      <c r="A21" s="253"/>
      <c r="B21" s="254"/>
      <c r="C21" s="291"/>
      <c r="D21" s="292"/>
      <c r="E21" s="293"/>
      <c r="F21" s="262"/>
      <c r="G21" s="286"/>
      <c r="H21" s="287"/>
      <c r="I21" s="294"/>
      <c r="J21" s="294"/>
      <c r="K21" s="259"/>
    </row>
    <row r="22" spans="1:11" s="247" customFormat="1" ht="18" customHeight="1" thickBot="1">
      <c r="A22" s="295"/>
      <c r="B22" s="295"/>
      <c r="C22" s="295"/>
      <c r="D22" s="295"/>
      <c r="E22" s="295"/>
      <c r="F22" s="295"/>
      <c r="G22" s="295"/>
      <c r="H22" s="296" t="s">
        <v>383</v>
      </c>
      <c r="I22" s="295"/>
      <c r="K22" s="295"/>
    </row>
    <row r="23" spans="1:9" s="300" customFormat="1" ht="24" customHeight="1">
      <c r="A23" s="358" t="s">
        <v>384</v>
      </c>
      <c r="B23" s="297" t="s">
        <v>385</v>
      </c>
      <c r="C23" s="297" t="s">
        <v>386</v>
      </c>
      <c r="D23" s="297" t="s">
        <v>385</v>
      </c>
      <c r="E23" s="297" t="s">
        <v>387</v>
      </c>
      <c r="F23" s="297" t="s">
        <v>388</v>
      </c>
      <c r="G23" s="297" t="s">
        <v>389</v>
      </c>
      <c r="H23" s="298" t="s">
        <v>390</v>
      </c>
      <c r="I23" s="299"/>
    </row>
    <row r="24" spans="1:9" s="300" customFormat="1" ht="21.75" customHeight="1">
      <c r="A24" s="359"/>
      <c r="B24" s="301" t="s">
        <v>380</v>
      </c>
      <c r="C24" s="301"/>
      <c r="D24" s="301" t="s">
        <v>391</v>
      </c>
      <c r="E24" s="301" t="s">
        <v>392</v>
      </c>
      <c r="F24" s="301" t="s">
        <v>244</v>
      </c>
      <c r="G24" s="301" t="s">
        <v>393</v>
      </c>
      <c r="H24" s="302" t="s">
        <v>394</v>
      </c>
      <c r="I24" s="299"/>
    </row>
    <row r="25" spans="1:11" s="300" customFormat="1" ht="19.5" customHeight="1">
      <c r="A25" s="303">
        <v>40508</v>
      </c>
      <c r="B25" s="304"/>
      <c r="C25" s="305"/>
      <c r="D25" s="306"/>
      <c r="E25" s="306"/>
      <c r="F25" s="307">
        <v>0</v>
      </c>
      <c r="G25" s="307"/>
      <c r="H25" s="308"/>
      <c r="I25" s="307"/>
      <c r="J25" s="309"/>
      <c r="K25" s="309"/>
    </row>
    <row r="26" spans="1:11" s="300" customFormat="1" ht="19.5" customHeight="1">
      <c r="A26" s="303">
        <v>40513</v>
      </c>
      <c r="B26" s="304">
        <f aca="true" t="shared" si="0" ref="B26:B57">A26-A25</f>
        <v>5</v>
      </c>
      <c r="C26" s="307">
        <f aca="true" t="shared" si="1" ref="C26:C36">F25*(B26/$F$16)*$C$8</f>
        <v>0</v>
      </c>
      <c r="D26" s="310">
        <v>0</v>
      </c>
      <c r="E26" s="311">
        <f>IF(OR(D26=1,D26&gt;1),C$13,0)</f>
        <v>0</v>
      </c>
      <c r="F26" s="307">
        <v>0</v>
      </c>
      <c r="G26" s="312">
        <f aca="true" t="shared" si="2" ref="G26:G57">E26+C26</f>
        <v>0</v>
      </c>
      <c r="H26" s="313">
        <v>0</v>
      </c>
      <c r="I26" s="307"/>
      <c r="J26" s="309"/>
      <c r="K26" s="309"/>
    </row>
    <row r="27" spans="1:11" s="300" customFormat="1" ht="21" customHeight="1">
      <c r="A27" s="303">
        <v>40544</v>
      </c>
      <c r="B27" s="304">
        <f t="shared" si="0"/>
        <v>31</v>
      </c>
      <c r="C27" s="307">
        <f t="shared" si="1"/>
        <v>0</v>
      </c>
      <c r="D27" s="310">
        <v>1</v>
      </c>
      <c r="E27" s="311">
        <v>0</v>
      </c>
      <c r="F27" s="307">
        <f aca="true" t="shared" si="3" ref="F27:F57">F26-E27</f>
        <v>0</v>
      </c>
      <c r="G27" s="312">
        <f t="shared" si="2"/>
        <v>0</v>
      </c>
      <c r="H27" s="313">
        <v>0</v>
      </c>
      <c r="I27" s="307"/>
      <c r="J27" s="309"/>
      <c r="K27" s="309"/>
    </row>
    <row r="28" spans="1:11" s="300" customFormat="1" ht="21" customHeight="1">
      <c r="A28" s="303">
        <v>40575</v>
      </c>
      <c r="B28" s="304">
        <f t="shared" si="0"/>
        <v>31</v>
      </c>
      <c r="C28" s="307">
        <f t="shared" si="1"/>
        <v>0</v>
      </c>
      <c r="D28" s="310">
        <v>1</v>
      </c>
      <c r="E28" s="311">
        <v>0</v>
      </c>
      <c r="F28" s="307">
        <v>0</v>
      </c>
      <c r="G28" s="312">
        <f t="shared" si="2"/>
        <v>0</v>
      </c>
      <c r="H28" s="313">
        <v>0</v>
      </c>
      <c r="I28" s="307"/>
      <c r="J28" s="309"/>
      <c r="K28" s="309"/>
    </row>
    <row r="29" spans="1:11" s="315" customFormat="1" ht="21" customHeight="1">
      <c r="A29" s="303">
        <v>40603</v>
      </c>
      <c r="B29" s="304">
        <f t="shared" si="0"/>
        <v>28</v>
      </c>
      <c r="C29" s="307">
        <f t="shared" si="1"/>
        <v>0</v>
      </c>
      <c r="D29" s="310">
        <v>1</v>
      </c>
      <c r="E29" s="311">
        <v>0</v>
      </c>
      <c r="F29" s="307">
        <v>0</v>
      </c>
      <c r="G29" s="312">
        <f t="shared" si="2"/>
        <v>0</v>
      </c>
      <c r="H29" s="313">
        <v>0</v>
      </c>
      <c r="I29" s="307"/>
      <c r="J29" s="314"/>
      <c r="K29" s="314"/>
    </row>
    <row r="30" spans="1:11" s="300" customFormat="1" ht="21" customHeight="1">
      <c r="A30" s="303">
        <v>40634</v>
      </c>
      <c r="B30" s="304">
        <f t="shared" si="0"/>
        <v>31</v>
      </c>
      <c r="C30" s="307">
        <f t="shared" si="1"/>
        <v>0</v>
      </c>
      <c r="D30" s="310">
        <v>1</v>
      </c>
      <c r="E30" s="311">
        <v>0</v>
      </c>
      <c r="F30" s="307">
        <f t="shared" si="3"/>
        <v>0</v>
      </c>
      <c r="G30" s="312">
        <f t="shared" si="2"/>
        <v>0</v>
      </c>
      <c r="H30" s="313">
        <v>0</v>
      </c>
      <c r="I30" s="307"/>
      <c r="J30" s="309"/>
      <c r="K30" s="309"/>
    </row>
    <row r="31" spans="1:11" s="300" customFormat="1" ht="21" customHeight="1">
      <c r="A31" s="303">
        <v>40664</v>
      </c>
      <c r="B31" s="304">
        <f t="shared" si="0"/>
        <v>30</v>
      </c>
      <c r="C31" s="307">
        <f t="shared" si="1"/>
        <v>0</v>
      </c>
      <c r="D31" s="310">
        <v>1</v>
      </c>
      <c r="E31" s="311">
        <v>0</v>
      </c>
      <c r="F31" s="307">
        <f t="shared" si="3"/>
        <v>0</v>
      </c>
      <c r="G31" s="312">
        <f t="shared" si="2"/>
        <v>0</v>
      </c>
      <c r="H31" s="313">
        <v>0</v>
      </c>
      <c r="I31" s="307"/>
      <c r="J31" s="309"/>
      <c r="K31" s="309"/>
    </row>
    <row r="32" spans="1:11" s="300" customFormat="1" ht="21" customHeight="1">
      <c r="A32" s="303">
        <v>40695</v>
      </c>
      <c r="B32" s="304">
        <f t="shared" si="0"/>
        <v>31</v>
      </c>
      <c r="C32" s="307">
        <f t="shared" si="1"/>
        <v>0</v>
      </c>
      <c r="D32" s="310">
        <v>1</v>
      </c>
      <c r="E32" s="311">
        <v>0</v>
      </c>
      <c r="F32" s="307">
        <f t="shared" si="3"/>
        <v>0</v>
      </c>
      <c r="G32" s="312">
        <f t="shared" si="2"/>
        <v>0</v>
      </c>
      <c r="H32" s="313">
        <v>0</v>
      </c>
      <c r="I32" s="307"/>
      <c r="J32" s="309">
        <v>1563.69</v>
      </c>
      <c r="K32" s="309"/>
    </row>
    <row r="33" spans="1:11" s="300" customFormat="1" ht="21" customHeight="1">
      <c r="A33" s="303">
        <v>40725</v>
      </c>
      <c r="B33" s="304">
        <f t="shared" si="0"/>
        <v>30</v>
      </c>
      <c r="C33" s="307">
        <f t="shared" si="1"/>
        <v>0</v>
      </c>
      <c r="D33" s="310">
        <v>1</v>
      </c>
      <c r="E33" s="311">
        <v>0</v>
      </c>
      <c r="F33" s="307">
        <f t="shared" si="3"/>
        <v>0</v>
      </c>
      <c r="G33" s="312">
        <f t="shared" si="2"/>
        <v>0</v>
      </c>
      <c r="H33" s="313">
        <v>0</v>
      </c>
      <c r="I33" s="307"/>
      <c r="J33" s="309">
        <v>9293.95</v>
      </c>
      <c r="K33" s="309"/>
    </row>
    <row r="34" spans="1:11" s="300" customFormat="1" ht="21" customHeight="1">
      <c r="A34" s="303">
        <v>40756</v>
      </c>
      <c r="B34" s="304">
        <f t="shared" si="0"/>
        <v>31</v>
      </c>
      <c r="C34" s="307">
        <f t="shared" si="1"/>
        <v>0</v>
      </c>
      <c r="D34" s="310">
        <v>1</v>
      </c>
      <c r="E34" s="311">
        <v>0</v>
      </c>
      <c r="F34" s="307">
        <f t="shared" si="3"/>
        <v>0</v>
      </c>
      <c r="G34" s="312">
        <f t="shared" si="2"/>
        <v>0</v>
      </c>
      <c r="H34" s="313">
        <v>0</v>
      </c>
      <c r="I34" s="307"/>
      <c r="J34" s="309">
        <v>9140.33</v>
      </c>
      <c r="K34" s="309"/>
    </row>
    <row r="35" spans="1:11" s="300" customFormat="1" ht="21" customHeight="1">
      <c r="A35" s="303">
        <v>40787</v>
      </c>
      <c r="B35" s="304">
        <f t="shared" si="0"/>
        <v>31</v>
      </c>
      <c r="C35" s="307">
        <f t="shared" si="1"/>
        <v>0</v>
      </c>
      <c r="D35" s="310">
        <v>1</v>
      </c>
      <c r="E35" s="311">
        <v>0</v>
      </c>
      <c r="F35" s="307">
        <f t="shared" si="3"/>
        <v>0</v>
      </c>
      <c r="G35" s="312">
        <f t="shared" si="2"/>
        <v>0</v>
      </c>
      <c r="H35" s="313">
        <v>0</v>
      </c>
      <c r="I35" s="307"/>
      <c r="J35" s="309">
        <v>8988.13</v>
      </c>
      <c r="K35" s="309"/>
    </row>
    <row r="36" spans="1:11" s="300" customFormat="1" ht="21" customHeight="1">
      <c r="A36" s="303">
        <v>40817</v>
      </c>
      <c r="B36" s="304">
        <f t="shared" si="0"/>
        <v>30</v>
      </c>
      <c r="C36" s="307">
        <f t="shared" si="1"/>
        <v>0</v>
      </c>
      <c r="D36" s="310">
        <v>1</v>
      </c>
      <c r="E36" s="311">
        <v>0</v>
      </c>
      <c r="F36" s="307">
        <v>60666</v>
      </c>
      <c r="G36" s="312">
        <f t="shared" si="2"/>
        <v>0</v>
      </c>
      <c r="H36" s="313">
        <v>0</v>
      </c>
      <c r="I36" s="307"/>
      <c r="J36" s="309">
        <v>8839.1</v>
      </c>
      <c r="K36" s="309"/>
    </row>
    <row r="37" spans="1:11" s="300" customFormat="1" ht="21" customHeight="1">
      <c r="A37" s="303">
        <v>40848</v>
      </c>
      <c r="B37" s="304">
        <f t="shared" si="0"/>
        <v>31</v>
      </c>
      <c r="C37" s="307">
        <v>0</v>
      </c>
      <c r="D37" s="310">
        <v>1</v>
      </c>
      <c r="E37" s="311">
        <v>0</v>
      </c>
      <c r="F37" s="307">
        <f t="shared" si="3"/>
        <v>60666</v>
      </c>
      <c r="G37" s="312">
        <f t="shared" si="2"/>
        <v>0</v>
      </c>
      <c r="H37" s="313">
        <v>0</v>
      </c>
      <c r="I37" s="307"/>
      <c r="J37" s="309">
        <v>8688.16</v>
      </c>
      <c r="K37" s="309"/>
    </row>
    <row r="38" spans="1:11" s="300" customFormat="1" ht="21" customHeight="1">
      <c r="A38" s="303">
        <v>40878</v>
      </c>
      <c r="B38" s="304">
        <f t="shared" si="0"/>
        <v>30</v>
      </c>
      <c r="C38" s="307">
        <f aca="true" t="shared" si="4" ref="C38:C49">F37*(B38/$F$17)*$C$8</f>
        <v>90.2012005479452</v>
      </c>
      <c r="D38" s="310">
        <v>1</v>
      </c>
      <c r="E38" s="311">
        <v>0</v>
      </c>
      <c r="F38" s="307">
        <f t="shared" si="3"/>
        <v>60666</v>
      </c>
      <c r="G38" s="312">
        <f t="shared" si="2"/>
        <v>90.2012005479452</v>
      </c>
      <c r="H38" s="313">
        <f>SUM(G26:G38)</f>
        <v>90.2012005479452</v>
      </c>
      <c r="I38" s="307"/>
      <c r="J38" s="309">
        <v>8537.46</v>
      </c>
      <c r="K38" s="309"/>
    </row>
    <row r="39" spans="1:11" s="300" customFormat="1" ht="21" customHeight="1">
      <c r="A39" s="303">
        <v>40909</v>
      </c>
      <c r="B39" s="304">
        <f t="shared" si="0"/>
        <v>31</v>
      </c>
      <c r="C39" s="307">
        <f t="shared" si="4"/>
        <v>93.20790723287669</v>
      </c>
      <c r="D39" s="310">
        <v>1</v>
      </c>
      <c r="E39" s="311">
        <v>0</v>
      </c>
      <c r="F39" s="307">
        <f t="shared" si="3"/>
        <v>60666</v>
      </c>
      <c r="G39" s="312">
        <f t="shared" si="2"/>
        <v>93.20790723287669</v>
      </c>
      <c r="H39" s="313">
        <v>0</v>
      </c>
      <c r="I39" s="307"/>
      <c r="J39" s="309">
        <f>SUM(J32:J38)</f>
        <v>55050.82</v>
      </c>
      <c r="K39" s="309"/>
    </row>
    <row r="40" spans="1:11" s="300" customFormat="1" ht="21" customHeight="1">
      <c r="A40" s="303">
        <v>40940</v>
      </c>
      <c r="B40" s="304">
        <f t="shared" si="0"/>
        <v>31</v>
      </c>
      <c r="C40" s="307">
        <f t="shared" si="4"/>
        <v>93.20790723287669</v>
      </c>
      <c r="D40" s="310">
        <v>1</v>
      </c>
      <c r="E40" s="311">
        <v>0</v>
      </c>
      <c r="F40" s="307">
        <f t="shared" si="3"/>
        <v>60666</v>
      </c>
      <c r="G40" s="312">
        <f t="shared" si="2"/>
        <v>93.20790723287669</v>
      </c>
      <c r="H40" s="313">
        <v>0</v>
      </c>
      <c r="I40" s="307"/>
      <c r="J40" s="309"/>
      <c r="K40" s="309"/>
    </row>
    <row r="41" spans="1:11" s="300" customFormat="1" ht="21" customHeight="1">
      <c r="A41" s="303">
        <v>40969</v>
      </c>
      <c r="B41" s="304">
        <f t="shared" si="0"/>
        <v>29</v>
      </c>
      <c r="C41" s="307">
        <f t="shared" si="4"/>
        <v>87.1944938630137</v>
      </c>
      <c r="D41" s="310">
        <v>1</v>
      </c>
      <c r="E41" s="311">
        <v>0</v>
      </c>
      <c r="F41" s="307">
        <f t="shared" si="3"/>
        <v>60666</v>
      </c>
      <c r="G41" s="312">
        <f t="shared" si="2"/>
        <v>87.1944938630137</v>
      </c>
      <c r="H41" s="313">
        <v>0</v>
      </c>
      <c r="I41" s="307"/>
      <c r="J41" s="309"/>
      <c r="K41" s="309"/>
    </row>
    <row r="42" spans="1:11" s="315" customFormat="1" ht="21" customHeight="1">
      <c r="A42" s="303">
        <v>41000</v>
      </c>
      <c r="B42" s="304">
        <f t="shared" si="0"/>
        <v>31</v>
      </c>
      <c r="C42" s="307">
        <f t="shared" si="4"/>
        <v>93.20790723287669</v>
      </c>
      <c r="D42" s="310">
        <v>1</v>
      </c>
      <c r="E42" s="311">
        <v>0</v>
      </c>
      <c r="F42" s="307">
        <f t="shared" si="3"/>
        <v>60666</v>
      </c>
      <c r="G42" s="312">
        <f t="shared" si="2"/>
        <v>93.20790723287669</v>
      </c>
      <c r="H42" s="313">
        <v>0</v>
      </c>
      <c r="I42" s="307"/>
      <c r="J42" s="314"/>
      <c r="K42" s="314"/>
    </row>
    <row r="43" spans="1:11" s="300" customFormat="1" ht="21" customHeight="1">
      <c r="A43" s="303">
        <v>41030</v>
      </c>
      <c r="B43" s="304">
        <f t="shared" si="0"/>
        <v>30</v>
      </c>
      <c r="C43" s="307">
        <f t="shared" si="4"/>
        <v>90.2012005479452</v>
      </c>
      <c r="D43" s="310">
        <v>1</v>
      </c>
      <c r="E43" s="311">
        <v>0</v>
      </c>
      <c r="F43" s="307">
        <f t="shared" si="3"/>
        <v>60666</v>
      </c>
      <c r="G43" s="312">
        <f t="shared" si="2"/>
        <v>90.2012005479452</v>
      </c>
      <c r="H43" s="313">
        <v>0</v>
      </c>
      <c r="I43" s="307"/>
      <c r="J43" s="309"/>
      <c r="K43" s="309"/>
    </row>
    <row r="44" spans="1:11" s="300" customFormat="1" ht="21" customHeight="1">
      <c r="A44" s="303">
        <v>41061</v>
      </c>
      <c r="B44" s="304">
        <f t="shared" si="0"/>
        <v>31</v>
      </c>
      <c r="C44" s="307">
        <f t="shared" si="4"/>
        <v>93.20790723287669</v>
      </c>
      <c r="D44" s="310">
        <v>1</v>
      </c>
      <c r="E44" s="311">
        <v>0</v>
      </c>
      <c r="F44" s="307">
        <f t="shared" si="3"/>
        <v>60666</v>
      </c>
      <c r="G44" s="312">
        <f t="shared" si="2"/>
        <v>93.20790723287669</v>
      </c>
      <c r="H44" s="313">
        <v>0</v>
      </c>
      <c r="I44" s="307"/>
      <c r="J44" s="309"/>
      <c r="K44" s="309"/>
    </row>
    <row r="45" spans="1:11" s="300" customFormat="1" ht="21" customHeight="1">
      <c r="A45" s="303">
        <v>41091</v>
      </c>
      <c r="B45" s="304">
        <f t="shared" si="0"/>
        <v>30</v>
      </c>
      <c r="C45" s="307">
        <f t="shared" si="4"/>
        <v>90.2012005479452</v>
      </c>
      <c r="D45" s="310">
        <v>1</v>
      </c>
      <c r="E45" s="311">
        <v>0</v>
      </c>
      <c r="F45" s="307">
        <f t="shared" si="3"/>
        <v>60666</v>
      </c>
      <c r="G45" s="312">
        <f t="shared" si="2"/>
        <v>90.2012005479452</v>
      </c>
      <c r="H45" s="313">
        <v>0</v>
      </c>
      <c r="I45" s="307"/>
      <c r="J45" s="309"/>
      <c r="K45" s="309"/>
    </row>
    <row r="46" spans="1:11" s="300" customFormat="1" ht="21" customHeight="1">
      <c r="A46" s="303">
        <v>41122</v>
      </c>
      <c r="B46" s="304">
        <f t="shared" si="0"/>
        <v>31</v>
      </c>
      <c r="C46" s="307">
        <f t="shared" si="4"/>
        <v>93.20790723287669</v>
      </c>
      <c r="D46" s="310">
        <v>1</v>
      </c>
      <c r="E46" s="311">
        <v>0</v>
      </c>
      <c r="F46" s="307">
        <f t="shared" si="3"/>
        <v>60666</v>
      </c>
      <c r="G46" s="312">
        <f t="shared" si="2"/>
        <v>93.20790723287669</v>
      </c>
      <c r="H46" s="313">
        <v>0</v>
      </c>
      <c r="I46" s="307"/>
      <c r="J46" s="309"/>
      <c r="K46" s="309"/>
    </row>
    <row r="47" spans="1:11" s="300" customFormat="1" ht="21" customHeight="1">
      <c r="A47" s="303">
        <v>41153</v>
      </c>
      <c r="B47" s="304">
        <f t="shared" si="0"/>
        <v>31</v>
      </c>
      <c r="C47" s="307">
        <f t="shared" si="4"/>
        <v>93.20790723287669</v>
      </c>
      <c r="D47" s="310">
        <v>1</v>
      </c>
      <c r="E47" s="311">
        <v>0</v>
      </c>
      <c r="F47" s="307">
        <f t="shared" si="3"/>
        <v>60666</v>
      </c>
      <c r="G47" s="312">
        <f t="shared" si="2"/>
        <v>93.20790723287669</v>
      </c>
      <c r="H47" s="313">
        <v>0</v>
      </c>
      <c r="I47" s="307"/>
      <c r="J47" s="309"/>
      <c r="K47" s="309"/>
    </row>
    <row r="48" spans="1:11" s="300" customFormat="1" ht="21" customHeight="1">
      <c r="A48" s="303">
        <v>41183</v>
      </c>
      <c r="B48" s="304">
        <f t="shared" si="0"/>
        <v>30</v>
      </c>
      <c r="C48" s="307">
        <f t="shared" si="4"/>
        <v>90.2012005479452</v>
      </c>
      <c r="D48" s="310">
        <v>1</v>
      </c>
      <c r="E48" s="311">
        <v>0</v>
      </c>
      <c r="F48" s="307">
        <f t="shared" si="3"/>
        <v>60666</v>
      </c>
      <c r="G48" s="312">
        <f t="shared" si="2"/>
        <v>90.2012005479452</v>
      </c>
      <c r="H48" s="313">
        <v>0</v>
      </c>
      <c r="I48" s="307"/>
      <c r="J48" s="309"/>
      <c r="K48" s="309"/>
    </row>
    <row r="49" spans="1:11" s="300" customFormat="1" ht="21" customHeight="1">
      <c r="A49" s="303">
        <v>41214</v>
      </c>
      <c r="B49" s="304">
        <f t="shared" si="0"/>
        <v>31</v>
      </c>
      <c r="C49" s="307">
        <f t="shared" si="4"/>
        <v>93.20790723287669</v>
      </c>
      <c r="D49" s="310">
        <v>1</v>
      </c>
      <c r="E49" s="311">
        <v>0</v>
      </c>
      <c r="F49" s="307">
        <f t="shared" si="3"/>
        <v>60666</v>
      </c>
      <c r="G49" s="312">
        <f t="shared" si="2"/>
        <v>93.20790723287669</v>
      </c>
      <c r="H49" s="313">
        <v>0</v>
      </c>
      <c r="I49" s="307"/>
      <c r="J49" s="309"/>
      <c r="K49" s="309"/>
    </row>
    <row r="50" spans="1:11" s="300" customFormat="1" ht="21" customHeight="1">
      <c r="A50" s="303">
        <v>41244</v>
      </c>
      <c r="B50" s="304">
        <f t="shared" si="0"/>
        <v>30</v>
      </c>
      <c r="C50" s="307">
        <f aca="true" t="shared" si="5" ref="C50:C61">F49*(B50/$F$18)*$C$8</f>
        <v>90.2012005479452</v>
      </c>
      <c r="D50" s="310">
        <v>1</v>
      </c>
      <c r="E50" s="311">
        <f aca="true" t="shared" si="6" ref="E50:E59">IF(OR(D50=1,D50&gt;1),C$13,0)</f>
        <v>722.2142857142857</v>
      </c>
      <c r="F50" s="307">
        <f t="shared" si="3"/>
        <v>59943.78571428572</v>
      </c>
      <c r="G50" s="312">
        <f t="shared" si="2"/>
        <v>812.4154862622308</v>
      </c>
      <c r="H50" s="313">
        <f>SUM(G39:G50)</f>
        <v>1822.6689323992168</v>
      </c>
      <c r="I50" s="307"/>
      <c r="J50" s="309"/>
      <c r="K50" s="309"/>
    </row>
    <row r="51" spans="1:11" s="300" customFormat="1" ht="21" customHeight="1">
      <c r="A51" s="303">
        <v>41275</v>
      </c>
      <c r="B51" s="304">
        <f t="shared" si="0"/>
        <v>31</v>
      </c>
      <c r="C51" s="307">
        <f t="shared" si="5"/>
        <v>92.09828928962817</v>
      </c>
      <c r="D51" s="310">
        <v>1</v>
      </c>
      <c r="E51" s="311">
        <f t="shared" si="6"/>
        <v>722.2142857142857</v>
      </c>
      <c r="F51" s="307">
        <f t="shared" si="3"/>
        <v>59221.571428571435</v>
      </c>
      <c r="G51" s="312">
        <f t="shared" si="2"/>
        <v>814.3125750039138</v>
      </c>
      <c r="H51" s="313">
        <v>0</v>
      </c>
      <c r="I51" s="307"/>
      <c r="J51" s="309"/>
      <c r="K51" s="309"/>
    </row>
    <row r="52" spans="1:11" s="300" customFormat="1" ht="21" customHeight="1">
      <c r="A52" s="303">
        <v>41306</v>
      </c>
      <c r="B52" s="304">
        <f t="shared" si="0"/>
        <v>31</v>
      </c>
      <c r="C52" s="307">
        <f t="shared" si="5"/>
        <v>90.98867134637965</v>
      </c>
      <c r="D52" s="310">
        <v>1</v>
      </c>
      <c r="E52" s="311">
        <f t="shared" si="6"/>
        <v>722.2142857142857</v>
      </c>
      <c r="F52" s="307">
        <f t="shared" si="3"/>
        <v>58499.35714285715</v>
      </c>
      <c r="G52" s="312">
        <f t="shared" si="2"/>
        <v>813.2029570606653</v>
      </c>
      <c r="H52" s="313">
        <v>0</v>
      </c>
      <c r="I52" s="307"/>
      <c r="J52" s="309"/>
      <c r="K52" s="309"/>
    </row>
    <row r="53" spans="1:11" s="300" customFormat="1" ht="21" customHeight="1">
      <c r="A53" s="303">
        <v>41334</v>
      </c>
      <c r="B53" s="304">
        <f t="shared" si="0"/>
        <v>28</v>
      </c>
      <c r="C53" s="307">
        <f t="shared" si="5"/>
        <v>81.1810804931507</v>
      </c>
      <c r="D53" s="310">
        <v>1</v>
      </c>
      <c r="E53" s="311">
        <f t="shared" si="6"/>
        <v>722.2142857142857</v>
      </c>
      <c r="F53" s="307">
        <f t="shared" si="3"/>
        <v>57777.14285714287</v>
      </c>
      <c r="G53" s="312">
        <f t="shared" si="2"/>
        <v>803.3953662074364</v>
      </c>
      <c r="H53" s="313">
        <v>0</v>
      </c>
      <c r="I53" s="307"/>
      <c r="J53" s="309"/>
      <c r="K53" s="309"/>
    </row>
    <row r="54" spans="1:11" s="300" customFormat="1" ht="21" customHeight="1">
      <c r="A54" s="303">
        <v>41365</v>
      </c>
      <c r="B54" s="304">
        <f t="shared" si="0"/>
        <v>31</v>
      </c>
      <c r="C54" s="307">
        <f t="shared" si="5"/>
        <v>88.7694354598826</v>
      </c>
      <c r="D54" s="310">
        <v>1</v>
      </c>
      <c r="E54" s="311">
        <f t="shared" si="6"/>
        <v>722.2142857142857</v>
      </c>
      <c r="F54" s="307">
        <f t="shared" si="3"/>
        <v>57054.92857142859</v>
      </c>
      <c r="G54" s="312">
        <f t="shared" si="2"/>
        <v>810.9837211741683</v>
      </c>
      <c r="H54" s="313">
        <v>0</v>
      </c>
      <c r="I54" s="307"/>
      <c r="J54" s="309"/>
      <c r="K54" s="309"/>
    </row>
    <row r="55" spans="1:11" s="300" customFormat="1" ht="21" customHeight="1">
      <c r="A55" s="303">
        <v>41395</v>
      </c>
      <c r="B55" s="304">
        <f t="shared" si="0"/>
        <v>30</v>
      </c>
      <c r="C55" s="307">
        <f t="shared" si="5"/>
        <v>84.83208146771038</v>
      </c>
      <c r="D55" s="310">
        <v>1</v>
      </c>
      <c r="E55" s="311">
        <f t="shared" si="6"/>
        <v>722.2142857142857</v>
      </c>
      <c r="F55" s="307">
        <f t="shared" si="3"/>
        <v>56332.714285714304</v>
      </c>
      <c r="G55" s="312">
        <f t="shared" si="2"/>
        <v>807.0463671819961</v>
      </c>
      <c r="H55" s="313">
        <v>0</v>
      </c>
      <c r="I55" s="307"/>
      <c r="J55" s="309"/>
      <c r="K55" s="309"/>
    </row>
    <row r="56" spans="1:11" s="300" customFormat="1" ht="21" customHeight="1">
      <c r="A56" s="303">
        <v>41426</v>
      </c>
      <c r="B56" s="304">
        <f t="shared" si="0"/>
        <v>31</v>
      </c>
      <c r="C56" s="307">
        <f t="shared" si="5"/>
        <v>86.55019957338553</v>
      </c>
      <c r="D56" s="310">
        <v>1</v>
      </c>
      <c r="E56" s="311">
        <f t="shared" si="6"/>
        <v>722.2142857142857</v>
      </c>
      <c r="F56" s="307">
        <f t="shared" si="3"/>
        <v>55610.50000000002</v>
      </c>
      <c r="G56" s="312">
        <f t="shared" si="2"/>
        <v>808.7644852876712</v>
      </c>
      <c r="H56" s="313">
        <v>0</v>
      </c>
      <c r="I56" s="307"/>
      <c r="J56" s="309"/>
      <c r="K56" s="309"/>
    </row>
    <row r="57" spans="1:11" s="315" customFormat="1" ht="21" customHeight="1">
      <c r="A57" s="303">
        <v>41456</v>
      </c>
      <c r="B57" s="304">
        <f t="shared" si="0"/>
        <v>30</v>
      </c>
      <c r="C57" s="307">
        <f t="shared" si="5"/>
        <v>82.68443383561646</v>
      </c>
      <c r="D57" s="310">
        <v>1</v>
      </c>
      <c r="E57" s="311">
        <f t="shared" si="6"/>
        <v>722.2142857142857</v>
      </c>
      <c r="F57" s="307">
        <f t="shared" si="3"/>
        <v>54888.28571428574</v>
      </c>
      <c r="G57" s="312">
        <f t="shared" si="2"/>
        <v>804.8987195499021</v>
      </c>
      <c r="H57" s="313">
        <v>0</v>
      </c>
      <c r="I57" s="307"/>
      <c r="J57" s="314"/>
      <c r="K57" s="314"/>
    </row>
    <row r="58" spans="1:11" s="300" customFormat="1" ht="21" customHeight="1">
      <c r="A58" s="303">
        <v>41487</v>
      </c>
      <c r="B58" s="304">
        <f aca="true" t="shared" si="7" ref="B58:B86">A58-A57</f>
        <v>31</v>
      </c>
      <c r="C58" s="307">
        <f t="shared" si="5"/>
        <v>84.33096368688848</v>
      </c>
      <c r="D58" s="310">
        <v>1</v>
      </c>
      <c r="E58" s="311">
        <f t="shared" si="6"/>
        <v>722.2142857142857</v>
      </c>
      <c r="F58" s="307">
        <f aca="true" t="shared" si="8" ref="F58:F89">F57-E58</f>
        <v>54166.07142857146</v>
      </c>
      <c r="G58" s="312">
        <f aca="true" t="shared" si="9" ref="G58:G89">E58+C58</f>
        <v>806.5452494011741</v>
      </c>
      <c r="H58" s="313">
        <v>0</v>
      </c>
      <c r="I58" s="307"/>
      <c r="J58" s="309"/>
      <c r="K58" s="309"/>
    </row>
    <row r="59" spans="1:11" s="300" customFormat="1" ht="21" customHeight="1">
      <c r="A59" s="303">
        <v>41518</v>
      </c>
      <c r="B59" s="304">
        <f t="shared" si="7"/>
        <v>31</v>
      </c>
      <c r="C59" s="307">
        <f t="shared" si="5"/>
        <v>83.22134574363996</v>
      </c>
      <c r="D59" s="310">
        <v>1</v>
      </c>
      <c r="E59" s="311">
        <f t="shared" si="6"/>
        <v>722.2142857142857</v>
      </c>
      <c r="F59" s="307">
        <f t="shared" si="8"/>
        <v>53443.857142857174</v>
      </c>
      <c r="G59" s="312">
        <f t="shared" si="9"/>
        <v>805.4356314579256</v>
      </c>
      <c r="H59" s="313">
        <v>0</v>
      </c>
      <c r="I59" s="307"/>
      <c r="J59" s="309"/>
      <c r="K59" s="309"/>
    </row>
    <row r="60" spans="1:11" s="300" customFormat="1" ht="21" customHeight="1">
      <c r="A60" s="303">
        <v>41548</v>
      </c>
      <c r="B60" s="304">
        <f t="shared" si="7"/>
        <v>30</v>
      </c>
      <c r="C60" s="307">
        <f t="shared" si="5"/>
        <v>79.46296238747557</v>
      </c>
      <c r="D60" s="310">
        <v>1</v>
      </c>
      <c r="E60" s="311">
        <f aca="true" t="shared" si="10" ref="E60:E91">IF(OR(D60=1,D60&gt;1),C$13,0)</f>
        <v>722.2142857142857</v>
      </c>
      <c r="F60" s="307">
        <f t="shared" si="8"/>
        <v>52721.64285714289</v>
      </c>
      <c r="G60" s="312">
        <f t="shared" si="9"/>
        <v>801.6772481017613</v>
      </c>
      <c r="H60" s="313">
        <v>0</v>
      </c>
      <c r="I60" s="307"/>
      <c r="J60" s="309"/>
      <c r="K60" s="309"/>
    </row>
    <row r="61" spans="1:11" s="300" customFormat="1" ht="21" customHeight="1">
      <c r="A61" s="303">
        <v>41579</v>
      </c>
      <c r="B61" s="304">
        <f t="shared" si="7"/>
        <v>31</v>
      </c>
      <c r="C61" s="307">
        <f t="shared" si="5"/>
        <v>81.00210985714291</v>
      </c>
      <c r="D61" s="310">
        <v>1</v>
      </c>
      <c r="E61" s="311">
        <f t="shared" si="10"/>
        <v>722.2142857142857</v>
      </c>
      <c r="F61" s="307">
        <f t="shared" si="8"/>
        <v>51999.42857142861</v>
      </c>
      <c r="G61" s="312">
        <f t="shared" si="9"/>
        <v>803.2163955714286</v>
      </c>
      <c r="H61" s="313">
        <v>0</v>
      </c>
      <c r="I61" s="307"/>
      <c r="J61" s="309"/>
      <c r="K61" s="309"/>
    </row>
    <row r="62" spans="1:11" s="300" customFormat="1" ht="21" customHeight="1">
      <c r="A62" s="303">
        <v>41609</v>
      </c>
      <c r="B62" s="304">
        <f t="shared" si="7"/>
        <v>30</v>
      </c>
      <c r="C62" s="307">
        <f aca="true" t="shared" si="11" ref="C62:C73">F61*(B62/$F$19)*$C$8</f>
        <v>77.10407072599537</v>
      </c>
      <c r="D62" s="310">
        <v>1</v>
      </c>
      <c r="E62" s="311">
        <f t="shared" si="10"/>
        <v>722.2142857142857</v>
      </c>
      <c r="F62" s="307">
        <f t="shared" si="8"/>
        <v>51277.214285714326</v>
      </c>
      <c r="G62" s="312">
        <f t="shared" si="9"/>
        <v>799.318356440281</v>
      </c>
      <c r="H62" s="313">
        <f>SUM(G51:G62)</f>
        <v>9678.797072438325</v>
      </c>
      <c r="I62" s="307"/>
      <c r="J62" s="309"/>
      <c r="K62" s="309"/>
    </row>
    <row r="63" spans="1:11" s="300" customFormat="1" ht="21" customHeight="1">
      <c r="A63" s="303">
        <v>41640</v>
      </c>
      <c r="B63" s="304">
        <f t="shared" si="7"/>
        <v>31</v>
      </c>
      <c r="C63" s="307">
        <f t="shared" si="11"/>
        <v>78.56762021662769</v>
      </c>
      <c r="D63" s="310">
        <v>1</v>
      </c>
      <c r="E63" s="311">
        <f t="shared" si="10"/>
        <v>722.2142857142857</v>
      </c>
      <c r="F63" s="307">
        <f t="shared" si="8"/>
        <v>50555.000000000044</v>
      </c>
      <c r="G63" s="312">
        <f t="shared" si="9"/>
        <v>800.7819059309134</v>
      </c>
      <c r="H63" s="313">
        <v>0</v>
      </c>
      <c r="I63" s="307"/>
      <c r="J63" s="309"/>
      <c r="K63" s="309"/>
    </row>
    <row r="64" spans="1:11" s="300" customFormat="1" ht="21" customHeight="1">
      <c r="A64" s="303">
        <v>41671</v>
      </c>
      <c r="B64" s="304">
        <f t="shared" si="7"/>
        <v>31</v>
      </c>
      <c r="C64" s="307">
        <f t="shared" si="11"/>
        <v>77.4610340163935</v>
      </c>
      <c r="D64" s="310">
        <v>1</v>
      </c>
      <c r="E64" s="311">
        <f t="shared" si="10"/>
        <v>722.2142857142857</v>
      </c>
      <c r="F64" s="307">
        <f t="shared" si="8"/>
        <v>49832.78571428576</v>
      </c>
      <c r="G64" s="312">
        <f t="shared" si="9"/>
        <v>799.6753197306791</v>
      </c>
      <c r="H64" s="313">
        <v>0</v>
      </c>
      <c r="I64" s="307"/>
      <c r="J64" s="309"/>
      <c r="K64" s="309"/>
    </row>
    <row r="65" spans="1:11" s="300" customFormat="1" ht="21" customHeight="1">
      <c r="A65" s="303">
        <v>41699</v>
      </c>
      <c r="B65" s="304">
        <f t="shared" si="7"/>
        <v>28</v>
      </c>
      <c r="C65" s="307">
        <f t="shared" si="11"/>
        <v>68.96530770491809</v>
      </c>
      <c r="D65" s="310">
        <v>1</v>
      </c>
      <c r="E65" s="311">
        <f t="shared" si="10"/>
        <v>722.2142857142857</v>
      </c>
      <c r="F65" s="307">
        <f t="shared" si="8"/>
        <v>49110.57142857148</v>
      </c>
      <c r="G65" s="312">
        <f t="shared" si="9"/>
        <v>791.1795934192038</v>
      </c>
      <c r="H65" s="313">
        <v>0</v>
      </c>
      <c r="I65" s="307"/>
      <c r="J65" s="309"/>
      <c r="K65" s="309"/>
    </row>
    <row r="66" spans="1:11" s="300" customFormat="1" ht="21" customHeight="1">
      <c r="A66" s="303">
        <v>41730</v>
      </c>
      <c r="B66" s="304">
        <f t="shared" si="7"/>
        <v>31</v>
      </c>
      <c r="C66" s="307">
        <f t="shared" si="11"/>
        <v>75.24786161592512</v>
      </c>
      <c r="D66" s="310">
        <v>1</v>
      </c>
      <c r="E66" s="311">
        <f t="shared" si="10"/>
        <v>722.2142857142857</v>
      </c>
      <c r="F66" s="307">
        <f t="shared" si="8"/>
        <v>48388.357142857196</v>
      </c>
      <c r="G66" s="312">
        <f t="shared" si="9"/>
        <v>797.4621473302108</v>
      </c>
      <c r="H66" s="313">
        <v>0</v>
      </c>
      <c r="I66" s="307"/>
      <c r="J66" s="309"/>
      <c r="K66" s="309"/>
    </row>
    <row r="67" spans="1:11" s="300" customFormat="1" ht="21" customHeight="1">
      <c r="A67" s="303">
        <v>41760</v>
      </c>
      <c r="B67" s="304">
        <f t="shared" si="7"/>
        <v>30</v>
      </c>
      <c r="C67" s="307">
        <f t="shared" si="11"/>
        <v>71.74962137002349</v>
      </c>
      <c r="D67" s="310">
        <v>1</v>
      </c>
      <c r="E67" s="311">
        <f t="shared" si="10"/>
        <v>722.2142857142857</v>
      </c>
      <c r="F67" s="307">
        <f t="shared" si="8"/>
        <v>47666.14285714291</v>
      </c>
      <c r="G67" s="312">
        <f t="shared" si="9"/>
        <v>793.9639070843092</v>
      </c>
      <c r="H67" s="313">
        <v>0</v>
      </c>
      <c r="I67" s="307"/>
      <c r="J67" s="309"/>
      <c r="K67" s="309"/>
    </row>
    <row r="68" spans="1:11" s="300" customFormat="1" ht="21" customHeight="1">
      <c r="A68" s="303">
        <v>41791</v>
      </c>
      <c r="B68" s="304">
        <f t="shared" si="7"/>
        <v>31</v>
      </c>
      <c r="C68" s="307">
        <f t="shared" si="11"/>
        <v>73.03468921545675</v>
      </c>
      <c r="D68" s="310">
        <v>1</v>
      </c>
      <c r="E68" s="311">
        <f t="shared" si="10"/>
        <v>722.2142857142857</v>
      </c>
      <c r="F68" s="307">
        <f t="shared" si="8"/>
        <v>46943.92857142863</v>
      </c>
      <c r="G68" s="312">
        <f t="shared" si="9"/>
        <v>795.2489749297424</v>
      </c>
      <c r="H68" s="313">
        <v>0</v>
      </c>
      <c r="I68" s="307"/>
      <c r="J68" s="309"/>
      <c r="K68" s="309"/>
    </row>
    <row r="69" spans="1:11" s="300" customFormat="1" ht="21" customHeight="1">
      <c r="A69" s="303">
        <v>41821</v>
      </c>
      <c r="B69" s="304">
        <f t="shared" si="7"/>
        <v>30</v>
      </c>
      <c r="C69" s="307">
        <f t="shared" si="11"/>
        <v>69.60784162763474</v>
      </c>
      <c r="D69" s="310">
        <v>1</v>
      </c>
      <c r="E69" s="311">
        <f t="shared" si="10"/>
        <v>722.2142857142857</v>
      </c>
      <c r="F69" s="307">
        <f t="shared" si="8"/>
        <v>46221.71428571435</v>
      </c>
      <c r="G69" s="312">
        <f t="shared" si="9"/>
        <v>791.8221273419203</v>
      </c>
      <c r="H69" s="313">
        <v>0</v>
      </c>
      <c r="I69" s="307"/>
      <c r="J69" s="309"/>
      <c r="K69" s="309"/>
    </row>
    <row r="70" spans="1:11" s="300" customFormat="1" ht="21" customHeight="1">
      <c r="A70" s="303">
        <v>41852</v>
      </c>
      <c r="B70" s="304">
        <f t="shared" si="7"/>
        <v>31</v>
      </c>
      <c r="C70" s="307">
        <f t="shared" si="11"/>
        <v>70.82151681498839</v>
      </c>
      <c r="D70" s="310">
        <v>1</v>
      </c>
      <c r="E70" s="311">
        <f t="shared" si="10"/>
        <v>722.2142857142857</v>
      </c>
      <c r="F70" s="307">
        <f t="shared" si="8"/>
        <v>45499.500000000065</v>
      </c>
      <c r="G70" s="312">
        <f t="shared" si="9"/>
        <v>793.0358025292741</v>
      </c>
      <c r="H70" s="313">
        <v>0</v>
      </c>
      <c r="I70" s="307"/>
      <c r="J70" s="309"/>
      <c r="K70" s="309"/>
    </row>
    <row r="71" spans="1:11" s="300" customFormat="1" ht="21" customHeight="1">
      <c r="A71" s="303">
        <v>41883</v>
      </c>
      <c r="B71" s="304">
        <f t="shared" si="7"/>
        <v>31</v>
      </c>
      <c r="C71" s="307">
        <f t="shared" si="11"/>
        <v>69.7149306147542</v>
      </c>
      <c r="D71" s="310">
        <v>1</v>
      </c>
      <c r="E71" s="311">
        <f t="shared" si="10"/>
        <v>722.2142857142857</v>
      </c>
      <c r="F71" s="307">
        <f t="shared" si="8"/>
        <v>44777.28571428578</v>
      </c>
      <c r="G71" s="312">
        <f t="shared" si="9"/>
        <v>791.9292163290398</v>
      </c>
      <c r="H71" s="313">
        <v>0</v>
      </c>
      <c r="I71" s="307"/>
      <c r="J71" s="309"/>
      <c r="K71" s="309"/>
    </row>
    <row r="72" spans="1:11" s="300" customFormat="1" ht="21" customHeight="1">
      <c r="A72" s="303">
        <v>41913</v>
      </c>
      <c r="B72" s="304">
        <f t="shared" si="7"/>
        <v>30</v>
      </c>
      <c r="C72" s="307">
        <f t="shared" si="11"/>
        <v>66.39517201405161</v>
      </c>
      <c r="D72" s="310">
        <v>1</v>
      </c>
      <c r="E72" s="311">
        <f t="shared" si="10"/>
        <v>722.2142857142857</v>
      </c>
      <c r="F72" s="307">
        <f t="shared" si="8"/>
        <v>44055.0714285715</v>
      </c>
      <c r="G72" s="312">
        <f t="shared" si="9"/>
        <v>788.6094577283372</v>
      </c>
      <c r="H72" s="313">
        <v>0</v>
      </c>
      <c r="I72" s="307"/>
      <c r="J72" s="309"/>
      <c r="K72" s="309"/>
    </row>
    <row r="73" spans="1:11" s="300" customFormat="1" ht="21" customHeight="1">
      <c r="A73" s="303">
        <v>41944</v>
      </c>
      <c r="B73" s="304">
        <f t="shared" si="7"/>
        <v>31</v>
      </c>
      <c r="C73" s="307">
        <f t="shared" si="11"/>
        <v>67.50175821428581</v>
      </c>
      <c r="D73" s="310">
        <v>1</v>
      </c>
      <c r="E73" s="311">
        <f t="shared" si="10"/>
        <v>722.2142857142857</v>
      </c>
      <c r="F73" s="307">
        <f t="shared" si="8"/>
        <v>43332.85714285722</v>
      </c>
      <c r="G73" s="312">
        <f t="shared" si="9"/>
        <v>789.7160439285715</v>
      </c>
      <c r="H73" s="313">
        <v>0</v>
      </c>
      <c r="I73" s="307"/>
      <c r="J73" s="309"/>
      <c r="K73" s="309"/>
    </row>
    <row r="74" spans="1:11" s="315" customFormat="1" ht="21" customHeight="1">
      <c r="A74" s="303">
        <v>41974</v>
      </c>
      <c r="B74" s="304">
        <f t="shared" si="7"/>
        <v>30</v>
      </c>
      <c r="C74" s="307">
        <f aca="true" t="shared" si="12" ref="C74:C85">F73*(B74/$F$20)*$C$8</f>
        <v>64.42942896281811</v>
      </c>
      <c r="D74" s="310">
        <v>1</v>
      </c>
      <c r="E74" s="311">
        <f t="shared" si="10"/>
        <v>722.2142857142857</v>
      </c>
      <c r="F74" s="307">
        <f t="shared" si="8"/>
        <v>42610.642857142935</v>
      </c>
      <c r="G74" s="312">
        <f t="shared" si="9"/>
        <v>786.6437146771037</v>
      </c>
      <c r="H74" s="313">
        <f>SUM(G63:G74)</f>
        <v>9520.068210959307</v>
      </c>
      <c r="I74" s="307"/>
      <c r="J74" s="314"/>
      <c r="K74" s="314"/>
    </row>
    <row r="75" spans="1:11" s="300" customFormat="1" ht="21" customHeight="1">
      <c r="A75" s="303">
        <v>42005</v>
      </c>
      <c r="B75" s="304">
        <f t="shared" si="7"/>
        <v>31</v>
      </c>
      <c r="C75" s="307">
        <f t="shared" si="12"/>
        <v>65.46745865166352</v>
      </c>
      <c r="D75" s="310">
        <v>1</v>
      </c>
      <c r="E75" s="311">
        <f t="shared" si="10"/>
        <v>722.2142857142857</v>
      </c>
      <c r="F75" s="307">
        <f t="shared" si="8"/>
        <v>41888.42857142865</v>
      </c>
      <c r="G75" s="312">
        <f t="shared" si="9"/>
        <v>787.6817443659492</v>
      </c>
      <c r="H75" s="313">
        <v>0</v>
      </c>
      <c r="I75" s="307"/>
      <c r="J75" s="309"/>
      <c r="K75" s="309"/>
    </row>
    <row r="76" spans="1:11" s="300" customFormat="1" ht="21" customHeight="1">
      <c r="A76" s="303">
        <v>42036</v>
      </c>
      <c r="B76" s="304">
        <f t="shared" si="7"/>
        <v>31</v>
      </c>
      <c r="C76" s="307">
        <f t="shared" si="12"/>
        <v>64.357840708415</v>
      </c>
      <c r="D76" s="310">
        <v>1</v>
      </c>
      <c r="E76" s="311">
        <f t="shared" si="10"/>
        <v>722.2142857142857</v>
      </c>
      <c r="F76" s="307">
        <f t="shared" si="8"/>
        <v>41166.21428571437</v>
      </c>
      <c r="G76" s="312">
        <f t="shared" si="9"/>
        <v>786.5721264227006</v>
      </c>
      <c r="H76" s="313">
        <v>0</v>
      </c>
      <c r="I76" s="307"/>
      <c r="J76" s="309"/>
      <c r="K76" s="309"/>
    </row>
    <row r="77" spans="1:11" s="300" customFormat="1" ht="21" customHeight="1">
      <c r="A77" s="303">
        <v>42064</v>
      </c>
      <c r="B77" s="304">
        <f t="shared" si="7"/>
        <v>28</v>
      </c>
      <c r="C77" s="307">
        <f t="shared" si="12"/>
        <v>57.12742701369874</v>
      </c>
      <c r="D77" s="310">
        <v>1</v>
      </c>
      <c r="E77" s="311">
        <f t="shared" si="10"/>
        <v>722.2142857142857</v>
      </c>
      <c r="F77" s="307">
        <f t="shared" si="8"/>
        <v>40444.00000000009</v>
      </c>
      <c r="G77" s="312">
        <f t="shared" si="9"/>
        <v>779.3417127279844</v>
      </c>
      <c r="H77" s="313">
        <v>0</v>
      </c>
      <c r="I77" s="307"/>
      <c r="J77" s="309"/>
      <c r="K77" s="309"/>
    </row>
    <row r="78" spans="1:11" s="300" customFormat="1" ht="21" customHeight="1">
      <c r="A78" s="303">
        <v>42095</v>
      </c>
      <c r="B78" s="304">
        <f t="shared" si="7"/>
        <v>31</v>
      </c>
      <c r="C78" s="307">
        <f t="shared" si="12"/>
        <v>62.13860482191794</v>
      </c>
      <c r="D78" s="310">
        <v>1</v>
      </c>
      <c r="E78" s="311">
        <f t="shared" si="10"/>
        <v>722.2142857142857</v>
      </c>
      <c r="F78" s="307">
        <f t="shared" si="8"/>
        <v>39721.785714285805</v>
      </c>
      <c r="G78" s="312">
        <f t="shared" si="9"/>
        <v>784.3528905362036</v>
      </c>
      <c r="H78" s="313">
        <v>0</v>
      </c>
      <c r="I78" s="307"/>
      <c r="J78" s="309"/>
      <c r="K78" s="309"/>
    </row>
    <row r="79" spans="1:11" s="300" customFormat="1" ht="21" customHeight="1">
      <c r="A79" s="303">
        <v>42125</v>
      </c>
      <c r="B79" s="304">
        <f t="shared" si="7"/>
        <v>30</v>
      </c>
      <c r="C79" s="307">
        <f t="shared" si="12"/>
        <v>59.0603098825833</v>
      </c>
      <c r="D79" s="310">
        <v>1</v>
      </c>
      <c r="E79" s="311">
        <f t="shared" si="10"/>
        <v>722.2142857142857</v>
      </c>
      <c r="F79" s="307">
        <f t="shared" si="8"/>
        <v>38999.57142857152</v>
      </c>
      <c r="G79" s="312">
        <f t="shared" si="9"/>
        <v>781.274595596869</v>
      </c>
      <c r="H79" s="313">
        <v>0</v>
      </c>
      <c r="I79" s="307"/>
      <c r="J79" s="309"/>
      <c r="K79" s="309"/>
    </row>
    <row r="80" spans="1:11" s="300" customFormat="1" ht="21" customHeight="1">
      <c r="A80" s="303">
        <v>42156</v>
      </c>
      <c r="B80" s="304">
        <f t="shared" si="7"/>
        <v>31</v>
      </c>
      <c r="C80" s="307">
        <f t="shared" si="12"/>
        <v>59.919368935420884</v>
      </c>
      <c r="D80" s="310">
        <v>1</v>
      </c>
      <c r="E80" s="311">
        <f t="shared" si="10"/>
        <v>722.2142857142857</v>
      </c>
      <c r="F80" s="307">
        <f t="shared" si="8"/>
        <v>38277.35714285724</v>
      </c>
      <c r="G80" s="312">
        <f t="shared" si="9"/>
        <v>782.1336546497065</v>
      </c>
      <c r="H80" s="313">
        <v>0</v>
      </c>
      <c r="I80" s="307"/>
      <c r="J80" s="309"/>
      <c r="K80" s="309"/>
    </row>
    <row r="81" spans="1:11" s="300" customFormat="1" ht="21" customHeight="1">
      <c r="A81" s="303">
        <v>42186</v>
      </c>
      <c r="B81" s="304">
        <f t="shared" si="7"/>
        <v>30</v>
      </c>
      <c r="C81" s="307">
        <f t="shared" si="12"/>
        <v>56.912662250489376</v>
      </c>
      <c r="D81" s="310">
        <v>1</v>
      </c>
      <c r="E81" s="311">
        <f t="shared" si="10"/>
        <v>722.2142857142857</v>
      </c>
      <c r="F81" s="307">
        <f t="shared" si="8"/>
        <v>37555.14285714296</v>
      </c>
      <c r="G81" s="312">
        <f t="shared" si="9"/>
        <v>779.126947964775</v>
      </c>
      <c r="H81" s="313">
        <v>0</v>
      </c>
      <c r="I81" s="307"/>
      <c r="J81" s="309"/>
      <c r="K81" s="309"/>
    </row>
    <row r="82" spans="1:11" s="300" customFormat="1" ht="21" customHeight="1">
      <c r="A82" s="303">
        <v>42217</v>
      </c>
      <c r="B82" s="304">
        <f t="shared" si="7"/>
        <v>31</v>
      </c>
      <c r="C82" s="307">
        <f t="shared" si="12"/>
        <v>57.700133048923824</v>
      </c>
      <c r="D82" s="310">
        <v>1</v>
      </c>
      <c r="E82" s="311">
        <f t="shared" si="10"/>
        <v>722.2142857142857</v>
      </c>
      <c r="F82" s="307">
        <f t="shared" si="8"/>
        <v>36832.928571428674</v>
      </c>
      <c r="G82" s="312">
        <f t="shared" si="9"/>
        <v>779.9144187632095</v>
      </c>
      <c r="H82" s="313">
        <v>0</v>
      </c>
      <c r="I82" s="307"/>
      <c r="J82" s="309"/>
      <c r="K82" s="309"/>
    </row>
    <row r="83" spans="1:11" s="300" customFormat="1" ht="21" customHeight="1">
      <c r="A83" s="303">
        <v>42248</v>
      </c>
      <c r="B83" s="304">
        <f t="shared" si="7"/>
        <v>31</v>
      </c>
      <c r="C83" s="307">
        <f t="shared" si="12"/>
        <v>56.5905151056753</v>
      </c>
      <c r="D83" s="310">
        <v>1</v>
      </c>
      <c r="E83" s="311">
        <f t="shared" si="10"/>
        <v>722.2142857142857</v>
      </c>
      <c r="F83" s="307">
        <f t="shared" si="8"/>
        <v>36110.71428571439</v>
      </c>
      <c r="G83" s="312">
        <f t="shared" si="9"/>
        <v>778.804800819961</v>
      </c>
      <c r="H83" s="313">
        <v>0</v>
      </c>
      <c r="I83" s="307"/>
      <c r="J83" s="309"/>
      <c r="K83" s="309"/>
    </row>
    <row r="84" spans="1:11" s="300" customFormat="1" ht="21" customHeight="1">
      <c r="A84" s="303">
        <v>42278</v>
      </c>
      <c r="B84" s="304">
        <f t="shared" si="7"/>
        <v>30</v>
      </c>
      <c r="C84" s="307">
        <f t="shared" si="12"/>
        <v>53.69119080234849</v>
      </c>
      <c r="D84" s="310">
        <v>1</v>
      </c>
      <c r="E84" s="311">
        <f t="shared" si="10"/>
        <v>722.2142857142857</v>
      </c>
      <c r="F84" s="307">
        <f t="shared" si="8"/>
        <v>35388.50000000011</v>
      </c>
      <c r="G84" s="312">
        <f t="shared" si="9"/>
        <v>775.9054765166342</v>
      </c>
      <c r="H84" s="313">
        <v>0</v>
      </c>
      <c r="I84" s="307"/>
      <c r="J84" s="309"/>
      <c r="K84" s="309"/>
    </row>
    <row r="85" spans="1:11" s="300" customFormat="1" ht="21" customHeight="1">
      <c r="A85" s="303">
        <v>42309</v>
      </c>
      <c r="B85" s="304">
        <f t="shared" si="7"/>
        <v>31</v>
      </c>
      <c r="C85" s="307">
        <f t="shared" si="12"/>
        <v>54.37127921917824</v>
      </c>
      <c r="D85" s="310">
        <v>1</v>
      </c>
      <c r="E85" s="311">
        <f t="shared" si="10"/>
        <v>722.2142857142857</v>
      </c>
      <c r="F85" s="307">
        <f t="shared" si="8"/>
        <v>34666.28571428583</v>
      </c>
      <c r="G85" s="312">
        <f t="shared" si="9"/>
        <v>776.585564933464</v>
      </c>
      <c r="H85" s="313">
        <v>0</v>
      </c>
      <c r="I85" s="307"/>
      <c r="J85" s="309"/>
      <c r="K85" s="309"/>
    </row>
    <row r="86" spans="1:11" s="300" customFormat="1" ht="21" customHeight="1">
      <c r="A86" s="303">
        <v>42339</v>
      </c>
      <c r="B86" s="304">
        <f t="shared" si="7"/>
        <v>30</v>
      </c>
      <c r="C86" s="307">
        <f aca="true" t="shared" si="13" ref="C86:C134">F85*(B86/$H$16)*$C$8</f>
        <v>51.543543170254566</v>
      </c>
      <c r="D86" s="310">
        <v>1</v>
      </c>
      <c r="E86" s="311">
        <f t="shared" si="10"/>
        <v>722.2142857142857</v>
      </c>
      <c r="F86" s="307">
        <f t="shared" si="8"/>
        <v>33944.071428571544</v>
      </c>
      <c r="G86" s="312">
        <f t="shared" si="9"/>
        <v>773.7578288845402</v>
      </c>
      <c r="H86" s="313">
        <f>SUM(G75:G86)</f>
        <v>9365.451762181996</v>
      </c>
      <c r="I86" s="307"/>
      <c r="J86" s="309"/>
      <c r="K86" s="309"/>
    </row>
    <row r="87" spans="1:11" s="300" customFormat="1" ht="21" customHeight="1">
      <c r="A87" s="303">
        <v>42370</v>
      </c>
      <c r="B87" s="304">
        <v>31</v>
      </c>
      <c r="C87" s="307">
        <f t="shared" si="13"/>
        <v>52.15204333268119</v>
      </c>
      <c r="D87" s="310">
        <v>1</v>
      </c>
      <c r="E87" s="311">
        <f t="shared" si="10"/>
        <v>722.2142857142857</v>
      </c>
      <c r="F87" s="307">
        <f t="shared" si="8"/>
        <v>33221.85714285726</v>
      </c>
      <c r="G87" s="312">
        <f t="shared" si="9"/>
        <v>774.3663290469668</v>
      </c>
      <c r="H87" s="313">
        <v>0</v>
      </c>
      <c r="I87" s="307"/>
      <c r="J87" s="309"/>
      <c r="K87" s="309"/>
    </row>
    <row r="88" spans="1:11" s="300" customFormat="1" ht="21" customHeight="1">
      <c r="A88" s="303">
        <v>42401</v>
      </c>
      <c r="B88" s="304">
        <v>28</v>
      </c>
      <c r="C88" s="307">
        <f t="shared" si="13"/>
        <v>46.1028358356166</v>
      </c>
      <c r="D88" s="310">
        <v>1</v>
      </c>
      <c r="E88" s="311">
        <f t="shared" si="10"/>
        <v>722.2142857142857</v>
      </c>
      <c r="F88" s="307">
        <f t="shared" si="8"/>
        <v>32499.642857142975</v>
      </c>
      <c r="G88" s="312">
        <f t="shared" si="9"/>
        <v>768.3171215499023</v>
      </c>
      <c r="H88" s="313">
        <v>0</v>
      </c>
      <c r="I88" s="307"/>
      <c r="J88" s="309"/>
      <c r="K88" s="309"/>
    </row>
    <row r="89" spans="1:11" s="300" customFormat="1" ht="21" customHeight="1">
      <c r="A89" s="303">
        <v>42430</v>
      </c>
      <c r="B89" s="304">
        <v>31</v>
      </c>
      <c r="C89" s="307">
        <f t="shared" si="13"/>
        <v>49.93280744618413</v>
      </c>
      <c r="D89" s="310">
        <v>1</v>
      </c>
      <c r="E89" s="311">
        <f t="shared" si="10"/>
        <v>722.2142857142857</v>
      </c>
      <c r="F89" s="307">
        <f t="shared" si="8"/>
        <v>31777.42857142869</v>
      </c>
      <c r="G89" s="312">
        <f t="shared" si="9"/>
        <v>772.1470931604698</v>
      </c>
      <c r="H89" s="313">
        <v>0</v>
      </c>
      <c r="I89" s="307"/>
      <c r="J89" s="309"/>
      <c r="K89" s="309"/>
    </row>
    <row r="90" spans="1:11" s="300" customFormat="1" ht="21" customHeight="1">
      <c r="A90" s="303">
        <v>42461</v>
      </c>
      <c r="B90" s="304">
        <v>30</v>
      </c>
      <c r="C90" s="307">
        <f t="shared" si="13"/>
        <v>47.2482479060667</v>
      </c>
      <c r="D90" s="310">
        <v>1</v>
      </c>
      <c r="E90" s="311">
        <f t="shared" si="10"/>
        <v>722.2142857142857</v>
      </c>
      <c r="F90" s="307">
        <f aca="true" t="shared" si="14" ref="F90:F133">F89-E90</f>
        <v>31055.214285714403</v>
      </c>
      <c r="G90" s="312">
        <f aca="true" t="shared" si="15" ref="G90:G133">E90+C90</f>
        <v>769.4625336203524</v>
      </c>
      <c r="H90" s="313">
        <v>0</v>
      </c>
      <c r="I90" s="307"/>
      <c r="J90" s="309"/>
      <c r="K90" s="309"/>
    </row>
    <row r="91" spans="1:11" s="300" customFormat="1" ht="21" customHeight="1">
      <c r="A91" s="303">
        <v>42491</v>
      </c>
      <c r="B91" s="304">
        <v>31</v>
      </c>
      <c r="C91" s="307">
        <f t="shared" si="13"/>
        <v>47.71357155968706</v>
      </c>
      <c r="D91" s="310">
        <v>1</v>
      </c>
      <c r="E91" s="311">
        <f t="shared" si="10"/>
        <v>722.2142857142857</v>
      </c>
      <c r="F91" s="307">
        <f t="shared" si="14"/>
        <v>30333.000000000116</v>
      </c>
      <c r="G91" s="312">
        <f t="shared" si="15"/>
        <v>769.9278572739727</v>
      </c>
      <c r="H91" s="313">
        <v>0</v>
      </c>
      <c r="I91" s="307"/>
      <c r="J91" s="309"/>
      <c r="K91" s="309"/>
    </row>
    <row r="92" spans="1:11" s="300" customFormat="1" ht="21" customHeight="1">
      <c r="A92" s="303">
        <v>42522</v>
      </c>
      <c r="B92" s="304">
        <v>30</v>
      </c>
      <c r="C92" s="307">
        <f t="shared" si="13"/>
        <v>45.10060027397277</v>
      </c>
      <c r="D92" s="310">
        <v>1</v>
      </c>
      <c r="E92" s="311">
        <f aca="true" t="shared" si="16" ref="E92:E133">IF(OR(D92=1,D92&gt;1),C$13,0)</f>
        <v>722.2142857142857</v>
      </c>
      <c r="F92" s="307">
        <f t="shared" si="14"/>
        <v>29610.78571428583</v>
      </c>
      <c r="G92" s="312">
        <f t="shared" si="15"/>
        <v>767.3148859882584</v>
      </c>
      <c r="H92" s="313">
        <v>0</v>
      </c>
      <c r="I92" s="307"/>
      <c r="J92" s="309"/>
      <c r="K92" s="309"/>
    </row>
    <row r="93" spans="1:11" s="300" customFormat="1" ht="21" customHeight="1">
      <c r="A93" s="303">
        <v>42552</v>
      </c>
      <c r="B93" s="304">
        <v>31</v>
      </c>
      <c r="C93" s="307">
        <f t="shared" si="13"/>
        <v>45.494335673189994</v>
      </c>
      <c r="D93" s="310">
        <v>1</v>
      </c>
      <c r="E93" s="311">
        <f t="shared" si="16"/>
        <v>722.2142857142857</v>
      </c>
      <c r="F93" s="307">
        <f t="shared" si="14"/>
        <v>28888.571428571544</v>
      </c>
      <c r="G93" s="312">
        <f t="shared" si="15"/>
        <v>767.7086213874757</v>
      </c>
      <c r="H93" s="313">
        <v>0</v>
      </c>
      <c r="I93" s="307"/>
      <c r="J93" s="309"/>
      <c r="K93" s="309"/>
    </row>
    <row r="94" spans="1:11" s="300" customFormat="1" ht="21" customHeight="1">
      <c r="A94" s="303">
        <v>42583</v>
      </c>
      <c r="B94" s="304">
        <v>31</v>
      </c>
      <c r="C94" s="307">
        <f t="shared" si="13"/>
        <v>44.384717729941464</v>
      </c>
      <c r="D94" s="310">
        <v>1</v>
      </c>
      <c r="E94" s="311">
        <f t="shared" si="16"/>
        <v>722.2142857142857</v>
      </c>
      <c r="F94" s="307">
        <f t="shared" si="14"/>
        <v>28166.357142857258</v>
      </c>
      <c r="G94" s="312">
        <f t="shared" si="15"/>
        <v>766.5990034442272</v>
      </c>
      <c r="H94" s="313">
        <v>0</v>
      </c>
      <c r="I94" s="307"/>
      <c r="J94" s="309"/>
      <c r="K94" s="309"/>
    </row>
    <row r="95" spans="1:11" s="300" customFormat="1" ht="21" customHeight="1">
      <c r="A95" s="303">
        <v>42614</v>
      </c>
      <c r="B95" s="304">
        <v>30</v>
      </c>
      <c r="C95" s="307">
        <f t="shared" si="13"/>
        <v>41.87912882583187</v>
      </c>
      <c r="D95" s="310">
        <v>1</v>
      </c>
      <c r="E95" s="311">
        <f t="shared" si="16"/>
        <v>722.2142857142857</v>
      </c>
      <c r="F95" s="307">
        <f t="shared" si="14"/>
        <v>27444.14285714297</v>
      </c>
      <c r="G95" s="312">
        <f t="shared" si="15"/>
        <v>764.0934145401176</v>
      </c>
      <c r="H95" s="313">
        <v>0</v>
      </c>
      <c r="I95" s="307"/>
      <c r="J95" s="309"/>
      <c r="K95" s="309"/>
    </row>
    <row r="96" spans="1:11" s="300" customFormat="1" ht="21" customHeight="1">
      <c r="A96" s="303">
        <v>42644</v>
      </c>
      <c r="B96" s="304">
        <v>31</v>
      </c>
      <c r="C96" s="307">
        <f t="shared" si="13"/>
        <v>42.1654818434444</v>
      </c>
      <c r="D96" s="310">
        <v>1</v>
      </c>
      <c r="E96" s="311">
        <f t="shared" si="16"/>
        <v>722.2142857142857</v>
      </c>
      <c r="F96" s="307">
        <f t="shared" si="14"/>
        <v>26721.928571428685</v>
      </c>
      <c r="G96" s="312">
        <f t="shared" si="15"/>
        <v>764.37976755773</v>
      </c>
      <c r="H96" s="313">
        <v>0</v>
      </c>
      <c r="I96" s="307"/>
      <c r="J96" s="309"/>
      <c r="K96" s="309"/>
    </row>
    <row r="97" spans="1:11" s="300" customFormat="1" ht="21" customHeight="1">
      <c r="A97" s="303">
        <v>42675</v>
      </c>
      <c r="B97" s="304">
        <v>30</v>
      </c>
      <c r="C97" s="307">
        <f t="shared" si="13"/>
        <v>39.731481193737935</v>
      </c>
      <c r="D97" s="310">
        <v>1</v>
      </c>
      <c r="E97" s="311">
        <f t="shared" si="16"/>
        <v>722.2142857142857</v>
      </c>
      <c r="F97" s="307">
        <f t="shared" si="14"/>
        <v>25999.7142857144</v>
      </c>
      <c r="G97" s="312">
        <f t="shared" si="15"/>
        <v>761.9457669080236</v>
      </c>
      <c r="H97" s="313">
        <v>0</v>
      </c>
      <c r="I97" s="307"/>
      <c r="J97" s="309"/>
      <c r="K97" s="309"/>
    </row>
    <row r="98" spans="1:11" s="300" customFormat="1" ht="21" customHeight="1">
      <c r="A98" s="303">
        <v>42705</v>
      </c>
      <c r="B98" s="304">
        <v>31</v>
      </c>
      <c r="C98" s="307">
        <f t="shared" si="13"/>
        <v>39.94624595694733</v>
      </c>
      <c r="D98" s="310">
        <v>1</v>
      </c>
      <c r="E98" s="311">
        <f t="shared" si="16"/>
        <v>722.2142857142857</v>
      </c>
      <c r="F98" s="307">
        <f t="shared" si="14"/>
        <v>25277.500000000113</v>
      </c>
      <c r="G98" s="312">
        <f t="shared" si="15"/>
        <v>762.160531671233</v>
      </c>
      <c r="H98" s="313">
        <f>G87+G88+G89+G90+G91+G92+G93+G94+G95+G96+G97+G98</f>
        <v>9208.42292614873</v>
      </c>
      <c r="I98" s="307"/>
      <c r="J98" s="309"/>
      <c r="K98" s="309"/>
    </row>
    <row r="99" spans="1:11" s="300" customFormat="1" ht="21" customHeight="1">
      <c r="A99" s="303">
        <v>42736</v>
      </c>
      <c r="B99" s="304">
        <v>31</v>
      </c>
      <c r="C99" s="307">
        <f t="shared" si="13"/>
        <v>38.8366280136988</v>
      </c>
      <c r="D99" s="310">
        <v>1</v>
      </c>
      <c r="E99" s="311">
        <f t="shared" si="16"/>
        <v>722.2142857142857</v>
      </c>
      <c r="F99" s="307">
        <f t="shared" si="14"/>
        <v>24555.285714285827</v>
      </c>
      <c r="G99" s="312">
        <f t="shared" si="15"/>
        <v>761.0509137279845</v>
      </c>
      <c r="H99" s="313">
        <v>0</v>
      </c>
      <c r="I99" s="307"/>
      <c r="J99" s="309"/>
      <c r="K99" s="309"/>
    </row>
    <row r="100" spans="1:11" s="300" customFormat="1" ht="21" customHeight="1">
      <c r="A100" s="303">
        <v>42767</v>
      </c>
      <c r="B100" s="304">
        <v>28</v>
      </c>
      <c r="C100" s="307">
        <f t="shared" si="13"/>
        <v>34.07600909589057</v>
      </c>
      <c r="D100" s="310">
        <v>1</v>
      </c>
      <c r="E100" s="311">
        <f t="shared" si="16"/>
        <v>722.2142857142857</v>
      </c>
      <c r="F100" s="307">
        <f t="shared" si="14"/>
        <v>23833.07142857154</v>
      </c>
      <c r="G100" s="312">
        <f t="shared" si="15"/>
        <v>756.2902948101762</v>
      </c>
      <c r="H100" s="313">
        <v>0</v>
      </c>
      <c r="I100" s="307"/>
      <c r="J100" s="309"/>
      <c r="K100" s="309"/>
    </row>
    <row r="101" spans="1:11" s="300" customFormat="1" ht="21" customHeight="1">
      <c r="A101" s="303">
        <v>42795</v>
      </c>
      <c r="B101" s="304">
        <v>31</v>
      </c>
      <c r="C101" s="307">
        <f t="shared" si="13"/>
        <v>36.61739212720173</v>
      </c>
      <c r="D101" s="310">
        <v>1</v>
      </c>
      <c r="E101" s="311">
        <f t="shared" si="16"/>
        <v>722.2142857142857</v>
      </c>
      <c r="F101" s="307">
        <f t="shared" si="14"/>
        <v>23110.857142857254</v>
      </c>
      <c r="G101" s="312">
        <f t="shared" si="15"/>
        <v>758.8316778414874</v>
      </c>
      <c r="H101" s="313">
        <v>0</v>
      </c>
      <c r="I101" s="307"/>
      <c r="J101" s="309"/>
      <c r="K101" s="309"/>
    </row>
    <row r="102" spans="1:11" s="300" customFormat="1" ht="21" customHeight="1">
      <c r="A102" s="303">
        <v>42826</v>
      </c>
      <c r="B102" s="304">
        <v>30</v>
      </c>
      <c r="C102" s="307">
        <f t="shared" si="13"/>
        <v>34.362362113503096</v>
      </c>
      <c r="D102" s="310">
        <v>1</v>
      </c>
      <c r="E102" s="311">
        <f t="shared" si="16"/>
        <v>722.2142857142857</v>
      </c>
      <c r="F102" s="307">
        <f t="shared" si="14"/>
        <v>22388.642857142968</v>
      </c>
      <c r="G102" s="312">
        <f t="shared" si="15"/>
        <v>756.5766478277887</v>
      </c>
      <c r="H102" s="313">
        <v>0</v>
      </c>
      <c r="I102" s="307"/>
      <c r="J102" s="309"/>
      <c r="K102" s="309"/>
    </row>
    <row r="103" spans="1:11" s="300" customFormat="1" ht="21" customHeight="1">
      <c r="A103" s="303">
        <v>42856</v>
      </c>
      <c r="B103" s="304">
        <v>31</v>
      </c>
      <c r="C103" s="307">
        <f t="shared" si="13"/>
        <v>34.398156240704665</v>
      </c>
      <c r="D103" s="310">
        <v>1</v>
      </c>
      <c r="E103" s="311">
        <f t="shared" si="16"/>
        <v>722.2142857142857</v>
      </c>
      <c r="F103" s="307">
        <f t="shared" si="14"/>
        <v>21666.42857142868</v>
      </c>
      <c r="G103" s="312">
        <f t="shared" si="15"/>
        <v>756.6124419549903</v>
      </c>
      <c r="H103" s="313">
        <v>0</v>
      </c>
      <c r="I103" s="307"/>
      <c r="J103" s="309"/>
      <c r="K103" s="309"/>
    </row>
    <row r="104" spans="1:11" s="300" customFormat="1" ht="21" customHeight="1">
      <c r="A104" s="303">
        <v>42887</v>
      </c>
      <c r="B104" s="304">
        <v>30</v>
      </c>
      <c r="C104" s="307">
        <f t="shared" si="13"/>
        <v>32.21471448140916</v>
      </c>
      <c r="D104" s="310">
        <v>1</v>
      </c>
      <c r="E104" s="311">
        <f t="shared" si="16"/>
        <v>722.2142857142857</v>
      </c>
      <c r="F104" s="307">
        <f t="shared" si="14"/>
        <v>20944.214285714395</v>
      </c>
      <c r="G104" s="312">
        <f t="shared" si="15"/>
        <v>754.4290001956948</v>
      </c>
      <c r="H104" s="313">
        <v>0</v>
      </c>
      <c r="I104" s="307"/>
      <c r="J104" s="309"/>
      <c r="K104" s="309"/>
    </row>
    <row r="105" spans="1:11" s="300" customFormat="1" ht="21" customHeight="1">
      <c r="A105" s="303">
        <v>42917</v>
      </c>
      <c r="B105" s="304">
        <v>31</v>
      </c>
      <c r="C105" s="307">
        <f t="shared" si="13"/>
        <v>32.1789203542076</v>
      </c>
      <c r="D105" s="310">
        <v>1</v>
      </c>
      <c r="E105" s="311">
        <f t="shared" si="16"/>
        <v>722.2142857142857</v>
      </c>
      <c r="F105" s="307">
        <f t="shared" si="14"/>
        <v>20222.00000000011</v>
      </c>
      <c r="G105" s="312">
        <f t="shared" si="15"/>
        <v>754.3932060684932</v>
      </c>
      <c r="H105" s="313">
        <v>0</v>
      </c>
      <c r="I105" s="307"/>
      <c r="J105" s="309"/>
      <c r="K105" s="309"/>
    </row>
    <row r="106" spans="1:11" s="300" customFormat="1" ht="21" customHeight="1">
      <c r="A106" s="303">
        <v>42948</v>
      </c>
      <c r="B106" s="304">
        <v>31</v>
      </c>
      <c r="C106" s="307">
        <f t="shared" si="13"/>
        <v>31.06930241095907</v>
      </c>
      <c r="D106" s="310">
        <v>1</v>
      </c>
      <c r="E106" s="311">
        <f t="shared" si="16"/>
        <v>722.2142857142857</v>
      </c>
      <c r="F106" s="307">
        <f t="shared" si="14"/>
        <v>19499.785714285823</v>
      </c>
      <c r="G106" s="312">
        <f t="shared" si="15"/>
        <v>753.2835881252447</v>
      </c>
      <c r="H106" s="313">
        <v>0</v>
      </c>
      <c r="I106" s="307"/>
      <c r="J106" s="309"/>
      <c r="K106" s="309"/>
    </row>
    <row r="107" spans="1:11" s="300" customFormat="1" ht="21" customHeight="1">
      <c r="A107" s="303">
        <v>42979</v>
      </c>
      <c r="B107" s="304">
        <v>30</v>
      </c>
      <c r="C107" s="307">
        <f t="shared" si="13"/>
        <v>28.993243033268257</v>
      </c>
      <c r="D107" s="310">
        <v>1</v>
      </c>
      <c r="E107" s="311">
        <f t="shared" si="16"/>
        <v>722.2142857142857</v>
      </c>
      <c r="F107" s="307">
        <f t="shared" si="14"/>
        <v>18777.571428571537</v>
      </c>
      <c r="G107" s="312">
        <f t="shared" si="15"/>
        <v>751.207528747554</v>
      </c>
      <c r="H107" s="313">
        <v>0</v>
      </c>
      <c r="I107" s="307"/>
      <c r="J107" s="309"/>
      <c r="K107" s="309"/>
    </row>
    <row r="108" spans="1:11" s="300" customFormat="1" ht="21" customHeight="1">
      <c r="A108" s="303">
        <v>43009</v>
      </c>
      <c r="B108" s="304">
        <v>31</v>
      </c>
      <c r="C108" s="307">
        <f t="shared" si="13"/>
        <v>28.850066524462004</v>
      </c>
      <c r="D108" s="310">
        <v>1</v>
      </c>
      <c r="E108" s="311">
        <f t="shared" si="16"/>
        <v>722.2142857142857</v>
      </c>
      <c r="F108" s="307">
        <f t="shared" si="14"/>
        <v>18055.35714285725</v>
      </c>
      <c r="G108" s="312">
        <f t="shared" si="15"/>
        <v>751.0643522387477</v>
      </c>
      <c r="H108" s="313">
        <v>0</v>
      </c>
      <c r="I108" s="307"/>
      <c r="J108" s="309"/>
      <c r="K108" s="309"/>
    </row>
    <row r="109" spans="1:11" s="300" customFormat="1" ht="21" customHeight="1">
      <c r="A109" s="303">
        <v>43040</v>
      </c>
      <c r="B109" s="304">
        <v>30</v>
      </c>
      <c r="C109" s="307">
        <f t="shared" si="13"/>
        <v>26.845595401174325</v>
      </c>
      <c r="D109" s="310">
        <v>1</v>
      </c>
      <c r="E109" s="311">
        <f t="shared" si="16"/>
        <v>722.2142857142857</v>
      </c>
      <c r="F109" s="307">
        <f t="shared" si="14"/>
        <v>17333.142857142964</v>
      </c>
      <c r="G109" s="312">
        <f t="shared" si="15"/>
        <v>749.05988111546</v>
      </c>
      <c r="H109" s="313">
        <v>0</v>
      </c>
      <c r="I109" s="307"/>
      <c r="J109" s="309"/>
      <c r="K109" s="309"/>
    </row>
    <row r="110" spans="1:11" s="300" customFormat="1" ht="21" customHeight="1">
      <c r="A110" s="303">
        <v>43070</v>
      </c>
      <c r="B110" s="304">
        <v>30</v>
      </c>
      <c r="C110" s="307">
        <f t="shared" si="13"/>
        <v>25.771771585127354</v>
      </c>
      <c r="D110" s="310">
        <v>1</v>
      </c>
      <c r="E110" s="311">
        <f t="shared" si="16"/>
        <v>722.2142857142857</v>
      </c>
      <c r="F110" s="307">
        <f t="shared" si="14"/>
        <v>16610.928571428678</v>
      </c>
      <c r="G110" s="312">
        <f t="shared" si="15"/>
        <v>747.986057299413</v>
      </c>
      <c r="H110" s="313">
        <f>G99+G100+G101+G102+G103+G104+G105+G106+G107+G108+G109+G110</f>
        <v>9050.785589953033</v>
      </c>
      <c r="I110" s="307"/>
      <c r="J110" s="309"/>
      <c r="K110" s="309"/>
    </row>
    <row r="111" spans="1:11" s="300" customFormat="1" ht="21" customHeight="1">
      <c r="A111" s="303">
        <v>43101</v>
      </c>
      <c r="B111" s="304">
        <v>30</v>
      </c>
      <c r="C111" s="307">
        <f t="shared" si="13"/>
        <v>24.69794776908039</v>
      </c>
      <c r="D111" s="310">
        <v>1</v>
      </c>
      <c r="E111" s="311">
        <f t="shared" si="16"/>
        <v>722.2142857142857</v>
      </c>
      <c r="F111" s="307">
        <f t="shared" si="14"/>
        <v>15888.714285714392</v>
      </c>
      <c r="G111" s="312">
        <f t="shared" si="15"/>
        <v>746.9122334833661</v>
      </c>
      <c r="H111" s="313">
        <v>0</v>
      </c>
      <c r="I111" s="307"/>
      <c r="J111" s="309"/>
      <c r="K111" s="309"/>
    </row>
    <row r="112" spans="1:11" s="300" customFormat="1" ht="21" customHeight="1">
      <c r="A112" s="303">
        <v>43132</v>
      </c>
      <c r="B112" s="304">
        <v>30</v>
      </c>
      <c r="C112" s="307">
        <f t="shared" si="13"/>
        <v>23.624123953033422</v>
      </c>
      <c r="D112" s="310">
        <v>1</v>
      </c>
      <c r="E112" s="311">
        <f t="shared" si="16"/>
        <v>722.2142857142857</v>
      </c>
      <c r="F112" s="307">
        <f t="shared" si="14"/>
        <v>15166.500000000106</v>
      </c>
      <c r="G112" s="312">
        <f t="shared" si="15"/>
        <v>745.8384096673191</v>
      </c>
      <c r="H112" s="313">
        <v>0</v>
      </c>
      <c r="I112" s="307"/>
      <c r="J112" s="309"/>
      <c r="K112" s="309"/>
    </row>
    <row r="113" spans="1:11" s="300" customFormat="1" ht="21" customHeight="1">
      <c r="A113" s="303">
        <v>43160</v>
      </c>
      <c r="B113" s="304">
        <v>30</v>
      </c>
      <c r="C113" s="307">
        <f t="shared" si="13"/>
        <v>22.550300136986454</v>
      </c>
      <c r="D113" s="310">
        <v>1</v>
      </c>
      <c r="E113" s="311">
        <f t="shared" si="16"/>
        <v>722.2142857142857</v>
      </c>
      <c r="F113" s="307">
        <f t="shared" si="14"/>
        <v>14444.28571428582</v>
      </c>
      <c r="G113" s="312">
        <f t="shared" si="15"/>
        <v>744.7645858512722</v>
      </c>
      <c r="H113" s="313">
        <v>0</v>
      </c>
      <c r="I113" s="307"/>
      <c r="J113" s="309"/>
      <c r="K113" s="309"/>
    </row>
    <row r="114" spans="1:11" s="300" customFormat="1" ht="21" customHeight="1">
      <c r="A114" s="303">
        <v>43191</v>
      </c>
      <c r="B114" s="304">
        <v>30</v>
      </c>
      <c r="C114" s="307">
        <f t="shared" si="13"/>
        <v>21.47647632093949</v>
      </c>
      <c r="D114" s="310">
        <v>1</v>
      </c>
      <c r="E114" s="311">
        <f t="shared" si="16"/>
        <v>722.2142857142857</v>
      </c>
      <c r="F114" s="307">
        <f t="shared" si="14"/>
        <v>13722.071428571533</v>
      </c>
      <c r="G114" s="312">
        <f t="shared" si="15"/>
        <v>743.6907620352251</v>
      </c>
      <c r="H114" s="313">
        <v>0</v>
      </c>
      <c r="I114" s="307"/>
      <c r="J114" s="309"/>
      <c r="K114" s="309"/>
    </row>
    <row r="115" spans="1:11" s="300" customFormat="1" ht="21" customHeight="1">
      <c r="A115" s="303">
        <v>43221</v>
      </c>
      <c r="B115" s="304">
        <v>30</v>
      </c>
      <c r="C115" s="307">
        <f t="shared" si="13"/>
        <v>20.40265250489252</v>
      </c>
      <c r="D115" s="310">
        <v>1</v>
      </c>
      <c r="E115" s="311">
        <f t="shared" si="16"/>
        <v>722.2142857142857</v>
      </c>
      <c r="F115" s="307">
        <f t="shared" si="14"/>
        <v>12999.857142857247</v>
      </c>
      <c r="G115" s="312">
        <f t="shared" si="15"/>
        <v>742.6169382191782</v>
      </c>
      <c r="H115" s="313">
        <v>0</v>
      </c>
      <c r="I115" s="307"/>
      <c r="J115" s="309"/>
      <c r="K115" s="309"/>
    </row>
    <row r="116" spans="1:11" s="300" customFormat="1" ht="21" customHeight="1">
      <c r="A116" s="303">
        <v>43252</v>
      </c>
      <c r="B116" s="304">
        <v>30</v>
      </c>
      <c r="C116" s="307">
        <f t="shared" si="13"/>
        <v>19.32882868884555</v>
      </c>
      <c r="D116" s="310">
        <v>1</v>
      </c>
      <c r="E116" s="311">
        <f t="shared" si="16"/>
        <v>722.2142857142857</v>
      </c>
      <c r="F116" s="307">
        <f t="shared" si="14"/>
        <v>12277.64285714296</v>
      </c>
      <c r="G116" s="312">
        <f t="shared" si="15"/>
        <v>741.5431144031312</v>
      </c>
      <c r="H116" s="313">
        <v>0</v>
      </c>
      <c r="I116" s="307"/>
      <c r="J116" s="309"/>
      <c r="K116" s="309"/>
    </row>
    <row r="117" spans="1:11" s="300" customFormat="1" ht="21" customHeight="1">
      <c r="A117" s="303">
        <v>43282</v>
      </c>
      <c r="B117" s="304">
        <v>30</v>
      </c>
      <c r="C117" s="307">
        <f t="shared" si="13"/>
        <v>18.255004872798587</v>
      </c>
      <c r="D117" s="310">
        <v>1</v>
      </c>
      <c r="E117" s="311">
        <f t="shared" si="16"/>
        <v>722.2142857142857</v>
      </c>
      <c r="F117" s="307">
        <f t="shared" si="14"/>
        <v>11555.428571428674</v>
      </c>
      <c r="G117" s="312">
        <f t="shared" si="15"/>
        <v>740.4692905870843</v>
      </c>
      <c r="H117" s="313">
        <v>0</v>
      </c>
      <c r="I117" s="307"/>
      <c r="J117" s="309"/>
      <c r="K117" s="309"/>
    </row>
    <row r="118" spans="1:11" s="300" customFormat="1" ht="21" customHeight="1">
      <c r="A118" s="303">
        <v>43313</v>
      </c>
      <c r="B118" s="304">
        <v>30</v>
      </c>
      <c r="C118" s="307">
        <f t="shared" si="13"/>
        <v>17.18118105675162</v>
      </c>
      <c r="D118" s="310">
        <v>1</v>
      </c>
      <c r="E118" s="311">
        <f t="shared" si="16"/>
        <v>722.2142857142857</v>
      </c>
      <c r="F118" s="307">
        <f t="shared" si="14"/>
        <v>10833.214285714388</v>
      </c>
      <c r="G118" s="312">
        <f t="shared" si="15"/>
        <v>739.3954667710373</v>
      </c>
      <c r="H118" s="313">
        <v>0</v>
      </c>
      <c r="I118" s="307"/>
      <c r="J118" s="309"/>
      <c r="K118" s="309"/>
    </row>
    <row r="119" spans="1:11" s="300" customFormat="1" ht="21" customHeight="1">
      <c r="A119" s="303">
        <v>43344</v>
      </c>
      <c r="B119" s="304">
        <v>30</v>
      </c>
      <c r="C119" s="307">
        <f t="shared" si="13"/>
        <v>16.10735724070465</v>
      </c>
      <c r="D119" s="310">
        <v>1</v>
      </c>
      <c r="E119" s="311">
        <f t="shared" si="16"/>
        <v>722.2142857142857</v>
      </c>
      <c r="F119" s="307">
        <f t="shared" si="14"/>
        <v>10111.000000000102</v>
      </c>
      <c r="G119" s="312">
        <f t="shared" si="15"/>
        <v>738.3216429549904</v>
      </c>
      <c r="H119" s="313">
        <v>0</v>
      </c>
      <c r="I119" s="307"/>
      <c r="J119" s="309"/>
      <c r="K119" s="309"/>
    </row>
    <row r="120" spans="1:11" s="300" customFormat="1" ht="21" customHeight="1">
      <c r="A120" s="303">
        <v>43374</v>
      </c>
      <c r="B120" s="304">
        <v>30</v>
      </c>
      <c r="C120" s="307">
        <f t="shared" si="13"/>
        <v>15.033533424657682</v>
      </c>
      <c r="D120" s="310">
        <v>1</v>
      </c>
      <c r="E120" s="311">
        <f t="shared" si="16"/>
        <v>722.2142857142857</v>
      </c>
      <c r="F120" s="307">
        <f t="shared" si="14"/>
        <v>9388.785714285816</v>
      </c>
      <c r="G120" s="312">
        <f t="shared" si="15"/>
        <v>737.2478191389433</v>
      </c>
      <c r="H120" s="313">
        <v>0</v>
      </c>
      <c r="I120" s="307"/>
      <c r="J120" s="309"/>
      <c r="K120" s="309"/>
    </row>
    <row r="121" spans="1:11" s="300" customFormat="1" ht="21" customHeight="1">
      <c r="A121" s="303">
        <v>43405</v>
      </c>
      <c r="B121" s="304">
        <v>30</v>
      </c>
      <c r="C121" s="307">
        <f t="shared" si="13"/>
        <v>13.959709608610716</v>
      </c>
      <c r="D121" s="310">
        <v>1</v>
      </c>
      <c r="E121" s="311">
        <f t="shared" si="16"/>
        <v>722.2142857142857</v>
      </c>
      <c r="F121" s="307">
        <f t="shared" si="14"/>
        <v>8666.57142857153</v>
      </c>
      <c r="G121" s="312">
        <f t="shared" si="15"/>
        <v>736.1739953228964</v>
      </c>
      <c r="H121" s="313">
        <v>0</v>
      </c>
      <c r="I121" s="307"/>
      <c r="J121" s="309"/>
      <c r="K121" s="309"/>
    </row>
    <row r="122" spans="1:11" s="300" customFormat="1" ht="21" customHeight="1">
      <c r="A122" s="303">
        <v>43435</v>
      </c>
      <c r="B122" s="304">
        <v>30</v>
      </c>
      <c r="C122" s="307">
        <f t="shared" si="13"/>
        <v>12.88588579256375</v>
      </c>
      <c r="D122" s="310">
        <v>1</v>
      </c>
      <c r="E122" s="311">
        <f t="shared" si="16"/>
        <v>722.2142857142857</v>
      </c>
      <c r="F122" s="307">
        <f t="shared" si="14"/>
        <v>7944.357142857244</v>
      </c>
      <c r="G122" s="312">
        <f t="shared" si="15"/>
        <v>735.1001715068494</v>
      </c>
      <c r="H122" s="313">
        <f>G111+G112+G113+G114+G115+G116+G117+G118+G119+G120+G121+G122</f>
        <v>8892.074429941293</v>
      </c>
      <c r="I122" s="307"/>
      <c r="J122" s="309"/>
      <c r="K122" s="309"/>
    </row>
    <row r="123" spans="1:11" s="300" customFormat="1" ht="21" customHeight="1">
      <c r="A123" s="303">
        <v>43466</v>
      </c>
      <c r="B123" s="304">
        <v>30</v>
      </c>
      <c r="C123" s="307">
        <f t="shared" si="13"/>
        <v>11.812061976516784</v>
      </c>
      <c r="D123" s="310">
        <v>1</v>
      </c>
      <c r="E123" s="311">
        <f t="shared" si="16"/>
        <v>722.2142857142857</v>
      </c>
      <c r="F123" s="307">
        <f t="shared" si="14"/>
        <v>7222.142857142959</v>
      </c>
      <c r="G123" s="312">
        <f t="shared" si="15"/>
        <v>734.0263476908025</v>
      </c>
      <c r="H123" s="313">
        <v>0</v>
      </c>
      <c r="I123" s="307"/>
      <c r="J123" s="309"/>
      <c r="K123" s="309"/>
    </row>
    <row r="124" spans="1:11" s="300" customFormat="1" ht="21" customHeight="1">
      <c r="A124" s="303">
        <v>43497</v>
      </c>
      <c r="B124" s="304">
        <v>30</v>
      </c>
      <c r="C124" s="307">
        <f t="shared" si="13"/>
        <v>10.738238160469816</v>
      </c>
      <c r="D124" s="310">
        <v>1</v>
      </c>
      <c r="E124" s="311">
        <f t="shared" si="16"/>
        <v>722.2142857142857</v>
      </c>
      <c r="F124" s="307">
        <f t="shared" si="14"/>
        <v>6499.928571428673</v>
      </c>
      <c r="G124" s="312">
        <f t="shared" si="15"/>
        <v>732.9525238747555</v>
      </c>
      <c r="H124" s="313">
        <v>0</v>
      </c>
      <c r="I124" s="307"/>
      <c r="J124" s="309"/>
      <c r="K124" s="309"/>
    </row>
    <row r="125" spans="1:11" s="300" customFormat="1" ht="21" customHeight="1">
      <c r="A125" s="303">
        <v>43525</v>
      </c>
      <c r="B125" s="304">
        <v>30</v>
      </c>
      <c r="C125" s="307">
        <f t="shared" si="13"/>
        <v>9.66441434442285</v>
      </c>
      <c r="D125" s="310">
        <v>1</v>
      </c>
      <c r="E125" s="311">
        <f t="shared" si="16"/>
        <v>722.2142857142857</v>
      </c>
      <c r="F125" s="307">
        <f t="shared" si="14"/>
        <v>5777.714285714388</v>
      </c>
      <c r="G125" s="312">
        <f t="shared" si="15"/>
        <v>731.8787000587085</v>
      </c>
      <c r="H125" s="313">
        <v>0</v>
      </c>
      <c r="I125" s="307"/>
      <c r="J125" s="309"/>
      <c r="K125" s="309"/>
    </row>
    <row r="126" spans="1:11" s="300" customFormat="1" ht="21" customHeight="1">
      <c r="A126" s="303">
        <v>43556</v>
      </c>
      <c r="B126" s="304">
        <v>30</v>
      </c>
      <c r="C126" s="307">
        <f t="shared" si="13"/>
        <v>8.590590528375884</v>
      </c>
      <c r="D126" s="310">
        <v>1</v>
      </c>
      <c r="E126" s="311">
        <f t="shared" si="16"/>
        <v>722.2142857142857</v>
      </c>
      <c r="F126" s="307">
        <f t="shared" si="14"/>
        <v>5055.500000000103</v>
      </c>
      <c r="G126" s="312">
        <f t="shared" si="15"/>
        <v>730.8048762426615</v>
      </c>
      <c r="H126" s="313">
        <v>0</v>
      </c>
      <c r="I126" s="307"/>
      <c r="J126" s="309"/>
      <c r="K126" s="309"/>
    </row>
    <row r="127" spans="1:11" s="300" customFormat="1" ht="21" customHeight="1">
      <c r="A127" s="303">
        <v>43586</v>
      </c>
      <c r="B127" s="304">
        <v>30</v>
      </c>
      <c r="C127" s="307">
        <f t="shared" si="13"/>
        <v>7.516766712328918</v>
      </c>
      <c r="D127" s="310">
        <v>1</v>
      </c>
      <c r="E127" s="311">
        <f t="shared" si="16"/>
        <v>722.2142857142857</v>
      </c>
      <c r="F127" s="307">
        <f t="shared" si="14"/>
        <v>4333.285714285817</v>
      </c>
      <c r="G127" s="312">
        <f t="shared" si="15"/>
        <v>729.7310524266146</v>
      </c>
      <c r="H127" s="313">
        <v>0</v>
      </c>
      <c r="I127" s="307"/>
      <c r="J127" s="309"/>
      <c r="K127" s="309"/>
    </row>
    <row r="128" spans="1:11" s="300" customFormat="1" ht="21" customHeight="1">
      <c r="A128" s="303">
        <v>43617</v>
      </c>
      <c r="B128" s="304">
        <v>30</v>
      </c>
      <c r="C128" s="307">
        <f t="shared" si="13"/>
        <v>6.442942896281953</v>
      </c>
      <c r="D128" s="310">
        <v>1</v>
      </c>
      <c r="E128" s="311">
        <f t="shared" si="16"/>
        <v>722.2142857142857</v>
      </c>
      <c r="F128" s="307">
        <f t="shared" si="14"/>
        <v>3611.0714285715317</v>
      </c>
      <c r="G128" s="312">
        <f t="shared" si="15"/>
        <v>728.6572286105676</v>
      </c>
      <c r="H128" s="313">
        <v>0</v>
      </c>
      <c r="I128" s="307"/>
      <c r="J128" s="309"/>
      <c r="K128" s="309"/>
    </row>
    <row r="129" spans="1:11" s="300" customFormat="1" ht="21" customHeight="1">
      <c r="A129" s="303">
        <v>43647</v>
      </c>
      <c r="B129" s="304">
        <v>30</v>
      </c>
      <c r="C129" s="307">
        <f t="shared" si="13"/>
        <v>5.369119080234986</v>
      </c>
      <c r="D129" s="310">
        <v>1</v>
      </c>
      <c r="E129" s="311">
        <f t="shared" si="16"/>
        <v>722.2142857142857</v>
      </c>
      <c r="F129" s="307">
        <f t="shared" si="14"/>
        <v>2888.857142857246</v>
      </c>
      <c r="G129" s="312">
        <f t="shared" si="15"/>
        <v>727.5834047945207</v>
      </c>
      <c r="H129" s="313">
        <v>0</v>
      </c>
      <c r="I129" s="307"/>
      <c r="J129" s="309"/>
      <c r="K129" s="309"/>
    </row>
    <row r="130" spans="1:11" s="300" customFormat="1" ht="21" customHeight="1">
      <c r="A130" s="303">
        <v>43678</v>
      </c>
      <c r="B130" s="304">
        <v>30</v>
      </c>
      <c r="C130" s="307">
        <f t="shared" si="13"/>
        <v>4.295295264188019</v>
      </c>
      <c r="D130" s="310">
        <v>1</v>
      </c>
      <c r="E130" s="311">
        <f t="shared" si="16"/>
        <v>722.2142857142857</v>
      </c>
      <c r="F130" s="307">
        <f t="shared" si="14"/>
        <v>2166.64285714296</v>
      </c>
      <c r="G130" s="312">
        <f t="shared" si="15"/>
        <v>726.5095809784737</v>
      </c>
      <c r="H130" s="313">
        <v>0</v>
      </c>
      <c r="I130" s="307"/>
      <c r="J130" s="309"/>
      <c r="K130" s="309"/>
    </row>
    <row r="131" spans="1:11" s="300" customFormat="1" ht="21" customHeight="1">
      <c r="A131" s="303">
        <v>43709</v>
      </c>
      <c r="B131" s="304">
        <v>30</v>
      </c>
      <c r="C131" s="307">
        <f t="shared" si="13"/>
        <v>3.221471448141053</v>
      </c>
      <c r="D131" s="310">
        <v>1</v>
      </c>
      <c r="E131" s="311">
        <f t="shared" si="16"/>
        <v>722.2142857142857</v>
      </c>
      <c r="F131" s="307">
        <f t="shared" si="14"/>
        <v>1444.4285714286743</v>
      </c>
      <c r="G131" s="312">
        <f t="shared" si="15"/>
        <v>725.4357571624267</v>
      </c>
      <c r="H131" s="313">
        <v>0</v>
      </c>
      <c r="I131" s="307"/>
      <c r="J131" s="309"/>
      <c r="K131" s="309"/>
    </row>
    <row r="132" spans="1:11" s="300" customFormat="1" ht="21" customHeight="1">
      <c r="A132" s="303">
        <v>43739</v>
      </c>
      <c r="B132" s="304">
        <v>30</v>
      </c>
      <c r="C132" s="307">
        <f t="shared" si="13"/>
        <v>2.147647632094086</v>
      </c>
      <c r="D132" s="310">
        <v>1</v>
      </c>
      <c r="E132" s="311">
        <f t="shared" si="16"/>
        <v>722.2142857142857</v>
      </c>
      <c r="F132" s="307">
        <f t="shared" si="14"/>
        <v>722.2142857143887</v>
      </c>
      <c r="G132" s="312">
        <f t="shared" si="15"/>
        <v>724.3619333463797</v>
      </c>
      <c r="H132" s="313">
        <v>0</v>
      </c>
      <c r="I132" s="307"/>
      <c r="J132" s="309"/>
      <c r="K132" s="309"/>
    </row>
    <row r="133" spans="1:11" s="300" customFormat="1" ht="21" customHeight="1">
      <c r="A133" s="303">
        <v>43770</v>
      </c>
      <c r="B133" s="304">
        <v>30</v>
      </c>
      <c r="C133" s="307">
        <f t="shared" si="13"/>
        <v>1.0738238160471196</v>
      </c>
      <c r="D133" s="310">
        <v>1</v>
      </c>
      <c r="E133" s="311">
        <f t="shared" si="16"/>
        <v>722.2142857142857</v>
      </c>
      <c r="F133" s="307">
        <f t="shared" si="14"/>
        <v>1.0300027497578412E-10</v>
      </c>
      <c r="G133" s="312">
        <f t="shared" si="15"/>
        <v>723.2881095303328</v>
      </c>
      <c r="H133" s="313">
        <f>G123+G124+G125+G126+G127+G128+G129+G130+G131+G132+G133</f>
        <v>8015.229514716244</v>
      </c>
      <c r="I133" s="307"/>
      <c r="J133" s="309"/>
      <c r="K133" s="309"/>
    </row>
    <row r="134" spans="1:11" s="300" customFormat="1" ht="21" customHeight="1">
      <c r="A134" s="303">
        <v>43800</v>
      </c>
      <c r="B134" s="304">
        <v>30</v>
      </c>
      <c r="C134" s="307">
        <f t="shared" si="13"/>
        <v>1.5314588829961105E-13</v>
      </c>
      <c r="D134" s="310">
        <v>1</v>
      </c>
      <c r="E134" s="311"/>
      <c r="F134" s="307"/>
      <c r="G134" s="312">
        <f>SUM(G26:G133)</f>
        <v>65643.69963928609</v>
      </c>
      <c r="H134" s="313">
        <f>SUM(H27:H133)</f>
        <v>65643.69963928609</v>
      </c>
      <c r="I134" s="307"/>
      <c r="J134" s="309"/>
      <c r="K134" s="309"/>
    </row>
    <row r="135" spans="1:11" s="300" customFormat="1" ht="21" customHeight="1">
      <c r="A135" s="303"/>
      <c r="B135" s="304"/>
      <c r="C135" s="307"/>
      <c r="D135" s="310"/>
      <c r="E135" s="311"/>
      <c r="F135" s="307"/>
      <c r="G135" s="312"/>
      <c r="H135" s="313"/>
      <c r="I135" s="307"/>
      <c r="J135" s="309"/>
      <c r="K135" s="309"/>
    </row>
    <row r="136" spans="1:11" s="300" customFormat="1" ht="21" customHeight="1">
      <c r="A136" s="303"/>
      <c r="B136" s="304"/>
      <c r="C136" s="307"/>
      <c r="D136" s="310"/>
      <c r="E136" s="311"/>
      <c r="F136" s="307"/>
      <c r="G136" s="312"/>
      <c r="H136" s="313"/>
      <c r="I136" s="307"/>
      <c r="J136" s="309"/>
      <c r="K136" s="309"/>
    </row>
    <row r="137" spans="1:11" s="300" customFormat="1" ht="21" customHeight="1">
      <c r="A137" s="303"/>
      <c r="B137" s="304"/>
      <c r="C137" s="307"/>
      <c r="D137" s="310"/>
      <c r="E137" s="311"/>
      <c r="F137" s="307"/>
      <c r="G137" s="312"/>
      <c r="H137" s="313"/>
      <c r="I137" s="307"/>
      <c r="J137" s="309"/>
      <c r="K137" s="309"/>
    </row>
    <row r="138" spans="1:11" s="300" customFormat="1" ht="21" customHeight="1">
      <c r="A138" s="303"/>
      <c r="B138" s="304"/>
      <c r="C138" s="307"/>
      <c r="D138" s="310"/>
      <c r="E138" s="311"/>
      <c r="F138" s="307"/>
      <c r="G138" s="312"/>
      <c r="H138" s="313"/>
      <c r="I138" s="307"/>
      <c r="J138" s="309"/>
      <c r="K138" s="309"/>
    </row>
    <row r="139" spans="1:11" s="300" customFormat="1" ht="21" customHeight="1">
      <c r="A139" s="303"/>
      <c r="B139" s="304"/>
      <c r="C139" s="307"/>
      <c r="D139" s="310"/>
      <c r="E139" s="311"/>
      <c r="F139" s="307"/>
      <c r="G139" s="312"/>
      <c r="H139" s="313"/>
      <c r="I139" s="307"/>
      <c r="J139" s="309"/>
      <c r="K139" s="309"/>
    </row>
    <row r="140" spans="1:11" s="300" customFormat="1" ht="21" customHeight="1">
      <c r="A140" s="303"/>
      <c r="B140" s="304"/>
      <c r="C140" s="307"/>
      <c r="D140" s="310"/>
      <c r="E140" s="311"/>
      <c r="F140" s="307"/>
      <c r="G140" s="312"/>
      <c r="H140" s="313"/>
      <c r="I140" s="307"/>
      <c r="J140" s="309"/>
      <c r="K140" s="309"/>
    </row>
    <row r="141" spans="1:11" s="300" customFormat="1" ht="21" customHeight="1">
      <c r="A141" s="303"/>
      <c r="B141" s="304"/>
      <c r="C141" s="307"/>
      <c r="D141" s="310"/>
      <c r="E141" s="311"/>
      <c r="F141" s="307"/>
      <c r="G141" s="312"/>
      <c r="H141" s="313"/>
      <c r="I141" s="307"/>
      <c r="J141" s="309"/>
      <c r="K141" s="309"/>
    </row>
    <row r="142" spans="1:11" s="300" customFormat="1" ht="21" customHeight="1">
      <c r="A142" s="303"/>
      <c r="B142" s="304"/>
      <c r="C142" s="307"/>
      <c r="D142" s="310"/>
      <c r="E142" s="311"/>
      <c r="F142" s="307"/>
      <c r="G142" s="312"/>
      <c r="H142" s="313"/>
      <c r="I142" s="307"/>
      <c r="J142" s="309"/>
      <c r="K142" s="309"/>
    </row>
    <row r="143" spans="1:11" s="300" customFormat="1" ht="21" customHeight="1">
      <c r="A143" s="303"/>
      <c r="B143" s="304"/>
      <c r="C143" s="307"/>
      <c r="D143" s="310"/>
      <c r="E143" s="311"/>
      <c r="F143" s="307"/>
      <c r="G143" s="312"/>
      <c r="H143" s="313"/>
      <c r="I143" s="307"/>
      <c r="J143" s="309"/>
      <c r="K143" s="309"/>
    </row>
    <row r="144" spans="1:11" s="300" customFormat="1" ht="21" customHeight="1">
      <c r="A144" s="303"/>
      <c r="B144" s="304"/>
      <c r="C144" s="307"/>
      <c r="D144" s="310"/>
      <c r="E144" s="311"/>
      <c r="F144" s="307"/>
      <c r="G144" s="312"/>
      <c r="H144" s="313"/>
      <c r="I144" s="307"/>
      <c r="J144" s="309"/>
      <c r="K144" s="309"/>
    </row>
    <row r="145" spans="1:11" s="300" customFormat="1" ht="21" customHeight="1">
      <c r="A145" s="303"/>
      <c r="B145" s="304"/>
      <c r="C145" s="307"/>
      <c r="D145" s="310"/>
      <c r="E145" s="311"/>
      <c r="F145" s="307"/>
      <c r="G145" s="312"/>
      <c r="H145" s="313"/>
      <c r="I145" s="307"/>
      <c r="J145" s="309"/>
      <c r="K145" s="309"/>
    </row>
    <row r="146" spans="1:11" s="300" customFormat="1" ht="21" customHeight="1">
      <c r="A146" s="303"/>
      <c r="B146" s="304"/>
      <c r="C146" s="307"/>
      <c r="D146" s="310"/>
      <c r="E146" s="311"/>
      <c r="F146" s="307"/>
      <c r="G146" s="312"/>
      <c r="H146" s="313"/>
      <c r="I146" s="307"/>
      <c r="J146" s="309"/>
      <c r="K146" s="309"/>
    </row>
    <row r="147" spans="1:11" s="300" customFormat="1" ht="21" customHeight="1">
      <c r="A147" s="303"/>
      <c r="B147" s="304"/>
      <c r="C147" s="307"/>
      <c r="D147" s="310"/>
      <c r="E147" s="311"/>
      <c r="F147" s="307"/>
      <c r="G147" s="312"/>
      <c r="H147" s="313"/>
      <c r="I147" s="307"/>
      <c r="J147" s="309"/>
      <c r="K147" s="309"/>
    </row>
    <row r="148" spans="1:11" s="300" customFormat="1" ht="21" customHeight="1">
      <c r="A148" s="303"/>
      <c r="B148" s="304"/>
      <c r="C148" s="307"/>
      <c r="D148" s="310"/>
      <c r="E148" s="311"/>
      <c r="F148" s="307"/>
      <c r="G148" s="312"/>
      <c r="H148" s="313"/>
      <c r="I148" s="307"/>
      <c r="J148" s="309"/>
      <c r="K148" s="309"/>
    </row>
    <row r="149" spans="1:11" s="300" customFormat="1" ht="21" customHeight="1">
      <c r="A149" s="303"/>
      <c r="B149" s="304"/>
      <c r="C149" s="307"/>
      <c r="D149" s="310"/>
      <c r="E149" s="311"/>
      <c r="F149" s="307"/>
      <c r="G149" s="312"/>
      <c r="H149" s="313"/>
      <c r="I149" s="307"/>
      <c r="J149" s="309"/>
      <c r="K149" s="309"/>
    </row>
    <row r="150" spans="1:11" s="300" customFormat="1" ht="21" customHeight="1">
      <c r="A150" s="303"/>
      <c r="B150" s="304"/>
      <c r="C150" s="307"/>
      <c r="D150" s="310"/>
      <c r="E150" s="311"/>
      <c r="F150" s="307"/>
      <c r="G150" s="312"/>
      <c r="H150" s="313"/>
      <c r="I150" s="307"/>
      <c r="J150" s="309"/>
      <c r="K150" s="309"/>
    </row>
    <row r="151" spans="1:11" s="300" customFormat="1" ht="21" customHeight="1">
      <c r="A151" s="303"/>
      <c r="B151" s="304"/>
      <c r="C151" s="307"/>
      <c r="D151" s="310"/>
      <c r="E151" s="311"/>
      <c r="F151" s="307"/>
      <c r="G151" s="312"/>
      <c r="H151" s="313"/>
      <c r="I151" s="307"/>
      <c r="J151" s="309"/>
      <c r="K151" s="309"/>
    </row>
    <row r="152" spans="1:11" s="300" customFormat="1" ht="21" customHeight="1">
      <c r="A152" s="303"/>
      <c r="B152" s="304"/>
      <c r="C152" s="307"/>
      <c r="D152" s="310"/>
      <c r="E152" s="311"/>
      <c r="F152" s="307"/>
      <c r="G152" s="312"/>
      <c r="H152" s="313"/>
      <c r="I152" s="307"/>
      <c r="J152" s="309"/>
      <c r="K152" s="309"/>
    </row>
    <row r="153" spans="1:11" s="300" customFormat="1" ht="21" customHeight="1">
      <c r="A153" s="303"/>
      <c r="B153" s="304"/>
      <c r="C153" s="307"/>
      <c r="D153" s="310"/>
      <c r="E153" s="311"/>
      <c r="F153" s="307"/>
      <c r="G153" s="312"/>
      <c r="H153" s="313"/>
      <c r="I153" s="307"/>
      <c r="J153" s="309"/>
      <c r="K153" s="309"/>
    </row>
    <row r="154" spans="1:11" s="300" customFormat="1" ht="21" customHeight="1">
      <c r="A154" s="303"/>
      <c r="B154" s="304"/>
      <c r="C154" s="307"/>
      <c r="D154" s="310"/>
      <c r="E154" s="311"/>
      <c r="F154" s="307"/>
      <c r="G154" s="312"/>
      <c r="H154" s="313"/>
      <c r="I154" s="307"/>
      <c r="J154" s="309"/>
      <c r="K154" s="309"/>
    </row>
    <row r="155" spans="1:11" s="300" customFormat="1" ht="21" customHeight="1">
      <c r="A155" s="303"/>
      <c r="B155" s="304"/>
      <c r="C155" s="307"/>
      <c r="D155" s="310"/>
      <c r="E155" s="311"/>
      <c r="F155" s="307"/>
      <c r="G155" s="312"/>
      <c r="H155" s="313"/>
      <c r="I155" s="307"/>
      <c r="J155" s="309"/>
      <c r="K155" s="309"/>
    </row>
    <row r="156" spans="1:11" s="300" customFormat="1" ht="21" customHeight="1">
      <c r="A156" s="303"/>
      <c r="B156" s="304"/>
      <c r="C156" s="307"/>
      <c r="D156" s="310"/>
      <c r="E156" s="311"/>
      <c r="F156" s="307"/>
      <c r="G156" s="312"/>
      <c r="H156" s="313"/>
      <c r="I156" s="307"/>
      <c r="J156" s="309"/>
      <c r="K156" s="309"/>
    </row>
    <row r="157" spans="1:11" s="300" customFormat="1" ht="21" customHeight="1">
      <c r="A157" s="303"/>
      <c r="B157" s="304"/>
      <c r="C157" s="307"/>
      <c r="D157" s="310"/>
      <c r="E157" s="311"/>
      <c r="F157" s="307"/>
      <c r="G157" s="312"/>
      <c r="H157" s="313"/>
      <c r="I157" s="307"/>
      <c r="J157" s="309"/>
      <c r="K157" s="309"/>
    </row>
    <row r="158" spans="1:11" s="300" customFormat="1" ht="21" customHeight="1">
      <c r="A158" s="303"/>
      <c r="B158" s="304"/>
      <c r="C158" s="307"/>
      <c r="D158" s="310"/>
      <c r="E158" s="311"/>
      <c r="F158" s="307"/>
      <c r="G158" s="312"/>
      <c r="H158" s="313"/>
      <c r="I158" s="307"/>
      <c r="J158" s="309"/>
      <c r="K158" s="309"/>
    </row>
    <row r="159" spans="1:11" s="300" customFormat="1" ht="21" customHeight="1">
      <c r="A159" s="303"/>
      <c r="B159" s="304"/>
      <c r="C159" s="307"/>
      <c r="D159" s="310"/>
      <c r="E159" s="311"/>
      <c r="F159" s="307"/>
      <c r="G159" s="312"/>
      <c r="H159" s="313"/>
      <c r="I159" s="307"/>
      <c r="J159" s="309"/>
      <c r="K159" s="309"/>
    </row>
    <row r="160" spans="1:11" s="300" customFormat="1" ht="21" customHeight="1">
      <c r="A160" s="303"/>
      <c r="B160" s="304"/>
      <c r="C160" s="307"/>
      <c r="D160" s="310"/>
      <c r="E160" s="311"/>
      <c r="F160" s="307"/>
      <c r="G160" s="312"/>
      <c r="H160" s="313"/>
      <c r="I160" s="307"/>
      <c r="J160" s="309"/>
      <c r="K160" s="309"/>
    </row>
    <row r="161" spans="1:11" s="300" customFormat="1" ht="21" customHeight="1">
      <c r="A161" s="303"/>
      <c r="B161" s="304"/>
      <c r="C161" s="307"/>
      <c r="D161" s="310"/>
      <c r="E161" s="311"/>
      <c r="F161" s="307"/>
      <c r="G161" s="312"/>
      <c r="H161" s="313"/>
      <c r="I161" s="307"/>
      <c r="J161" s="309"/>
      <c r="K161" s="309"/>
    </row>
    <row r="162" spans="1:11" s="300" customFormat="1" ht="21" customHeight="1">
      <c r="A162" s="303"/>
      <c r="B162" s="304"/>
      <c r="C162" s="307"/>
      <c r="D162" s="310"/>
      <c r="E162" s="311"/>
      <c r="F162" s="307"/>
      <c r="G162" s="312"/>
      <c r="H162" s="313"/>
      <c r="I162" s="307"/>
      <c r="J162" s="309"/>
      <c r="K162" s="309"/>
    </row>
    <row r="163" spans="1:11" s="300" customFormat="1" ht="21" customHeight="1">
      <c r="A163" s="303"/>
      <c r="B163" s="304"/>
      <c r="C163" s="307"/>
      <c r="D163" s="310"/>
      <c r="E163" s="311"/>
      <c r="F163" s="307"/>
      <c r="G163" s="312"/>
      <c r="H163" s="313"/>
      <c r="I163" s="307"/>
      <c r="J163" s="309"/>
      <c r="K163" s="309"/>
    </row>
    <row r="164" spans="1:11" s="300" customFormat="1" ht="21" customHeight="1">
      <c r="A164" s="303"/>
      <c r="B164" s="304"/>
      <c r="C164" s="307"/>
      <c r="D164" s="310"/>
      <c r="E164" s="311"/>
      <c r="F164" s="307"/>
      <c r="G164" s="312"/>
      <c r="H164" s="313"/>
      <c r="I164" s="307"/>
      <c r="J164" s="309"/>
      <c r="K164" s="309"/>
    </row>
    <row r="165" spans="1:11" s="300" customFormat="1" ht="21" customHeight="1">
      <c r="A165" s="303"/>
      <c r="B165" s="304"/>
      <c r="C165" s="307"/>
      <c r="D165" s="310"/>
      <c r="E165" s="311"/>
      <c r="F165" s="307"/>
      <c r="G165" s="312"/>
      <c r="H165" s="313"/>
      <c r="I165" s="307"/>
      <c r="J165" s="309"/>
      <c r="K165" s="309"/>
    </row>
    <row r="166" spans="1:11" s="300" customFormat="1" ht="21" customHeight="1">
      <c r="A166" s="303"/>
      <c r="B166" s="304"/>
      <c r="C166" s="307"/>
      <c r="D166" s="310"/>
      <c r="E166" s="311"/>
      <c r="F166" s="307"/>
      <c r="G166" s="312"/>
      <c r="H166" s="313"/>
      <c r="I166" s="307"/>
      <c r="J166" s="309"/>
      <c r="K166" s="309"/>
    </row>
    <row r="167" spans="1:11" s="300" customFormat="1" ht="21" customHeight="1">
      <c r="A167" s="303"/>
      <c r="B167" s="304"/>
      <c r="C167" s="307"/>
      <c r="D167" s="310"/>
      <c r="E167" s="311"/>
      <c r="F167" s="307"/>
      <c r="G167" s="312"/>
      <c r="H167" s="313"/>
      <c r="I167" s="307"/>
      <c r="J167" s="309"/>
      <c r="K167" s="309"/>
    </row>
    <row r="168" spans="1:11" s="300" customFormat="1" ht="21" customHeight="1">
      <c r="A168" s="303"/>
      <c r="B168" s="304"/>
      <c r="C168" s="307"/>
      <c r="D168" s="310"/>
      <c r="E168" s="311"/>
      <c r="F168" s="307"/>
      <c r="G168" s="312"/>
      <c r="H168" s="313"/>
      <c r="I168" s="307"/>
      <c r="J168" s="309"/>
      <c r="K168" s="309"/>
    </row>
    <row r="169" spans="1:11" s="300" customFormat="1" ht="21" customHeight="1">
      <c r="A169" s="303"/>
      <c r="B169" s="304"/>
      <c r="C169" s="307"/>
      <c r="D169" s="310"/>
      <c r="E169" s="311"/>
      <c r="F169" s="307"/>
      <c r="G169" s="312"/>
      <c r="H169" s="313"/>
      <c r="I169" s="307"/>
      <c r="J169" s="309"/>
      <c r="K169" s="309"/>
    </row>
    <row r="170" spans="1:11" s="300" customFormat="1" ht="21" customHeight="1">
      <c r="A170" s="303"/>
      <c r="B170" s="304"/>
      <c r="C170" s="307"/>
      <c r="D170" s="310"/>
      <c r="E170" s="311"/>
      <c r="F170" s="307"/>
      <c r="G170" s="312"/>
      <c r="H170" s="313"/>
      <c r="I170" s="307"/>
      <c r="J170" s="309"/>
      <c r="K170" s="309"/>
    </row>
    <row r="171" spans="1:11" s="300" customFormat="1" ht="21" customHeight="1">
      <c r="A171" s="303"/>
      <c r="B171" s="304"/>
      <c r="C171" s="307"/>
      <c r="D171" s="310"/>
      <c r="E171" s="311"/>
      <c r="F171" s="307"/>
      <c r="G171" s="312"/>
      <c r="H171" s="313"/>
      <c r="I171" s="307"/>
      <c r="J171" s="309"/>
      <c r="K171" s="309"/>
    </row>
    <row r="172" spans="1:11" s="300" customFormat="1" ht="21" customHeight="1">
      <c r="A172" s="303"/>
      <c r="B172" s="304"/>
      <c r="C172" s="307"/>
      <c r="D172" s="310"/>
      <c r="E172" s="311"/>
      <c r="F172" s="307"/>
      <c r="G172" s="312"/>
      <c r="H172" s="313"/>
      <c r="I172" s="307"/>
      <c r="J172" s="309"/>
      <c r="K172" s="309"/>
    </row>
    <row r="173" spans="1:11" s="300" customFormat="1" ht="21" customHeight="1">
      <c r="A173" s="303"/>
      <c r="B173" s="304"/>
      <c r="C173" s="307"/>
      <c r="D173" s="310"/>
      <c r="E173" s="311"/>
      <c r="F173" s="307"/>
      <c r="G173" s="312"/>
      <c r="H173" s="313"/>
      <c r="I173" s="307"/>
      <c r="J173" s="309"/>
      <c r="K173" s="309"/>
    </row>
    <row r="174" spans="1:11" s="300" customFormat="1" ht="21" customHeight="1">
      <c r="A174" s="303"/>
      <c r="B174" s="304"/>
      <c r="C174" s="307"/>
      <c r="D174" s="310"/>
      <c r="E174" s="311"/>
      <c r="F174" s="307"/>
      <c r="G174" s="312"/>
      <c r="H174" s="313"/>
      <c r="I174" s="307"/>
      <c r="J174" s="309"/>
      <c r="K174" s="309"/>
    </row>
    <row r="175" spans="1:11" s="300" customFormat="1" ht="21" customHeight="1">
      <c r="A175" s="303"/>
      <c r="B175" s="304"/>
      <c r="C175" s="307"/>
      <c r="D175" s="310"/>
      <c r="E175" s="311"/>
      <c r="F175" s="307"/>
      <c r="G175" s="312"/>
      <c r="H175" s="313"/>
      <c r="I175" s="307"/>
      <c r="J175" s="309"/>
      <c r="K175" s="309"/>
    </row>
    <row r="176" spans="1:11" s="300" customFormat="1" ht="21" customHeight="1">
      <c r="A176" s="303"/>
      <c r="B176" s="304"/>
      <c r="C176" s="307"/>
      <c r="D176" s="310"/>
      <c r="E176" s="311"/>
      <c r="F176" s="307"/>
      <c r="G176" s="312"/>
      <c r="H176" s="313"/>
      <c r="I176" s="307"/>
      <c r="J176" s="309"/>
      <c r="K176" s="309"/>
    </row>
    <row r="177" spans="1:11" s="300" customFormat="1" ht="21" customHeight="1">
      <c r="A177" s="303"/>
      <c r="B177" s="304"/>
      <c r="C177" s="307"/>
      <c r="D177" s="310"/>
      <c r="E177" s="311"/>
      <c r="F177" s="307"/>
      <c r="G177" s="312"/>
      <c r="H177" s="313"/>
      <c r="I177" s="307"/>
      <c r="J177" s="309"/>
      <c r="K177" s="309"/>
    </row>
    <row r="178" spans="1:11" s="300" customFormat="1" ht="21" customHeight="1">
      <c r="A178" s="303"/>
      <c r="B178" s="304"/>
      <c r="C178" s="307"/>
      <c r="D178" s="310"/>
      <c r="E178" s="311"/>
      <c r="F178" s="307"/>
      <c r="G178" s="312"/>
      <c r="H178" s="313"/>
      <c r="I178" s="307"/>
      <c r="J178" s="309"/>
      <c r="K178" s="309"/>
    </row>
    <row r="179" spans="1:11" s="300" customFormat="1" ht="21" customHeight="1">
      <c r="A179" s="303"/>
      <c r="B179" s="304"/>
      <c r="C179" s="307"/>
      <c r="D179" s="310"/>
      <c r="E179" s="311"/>
      <c r="F179" s="307"/>
      <c r="G179" s="312"/>
      <c r="H179" s="313"/>
      <c r="I179" s="307"/>
      <c r="J179" s="309"/>
      <c r="K179" s="309"/>
    </row>
    <row r="180" spans="1:11" s="300" customFormat="1" ht="21" customHeight="1">
      <c r="A180" s="303"/>
      <c r="B180" s="304"/>
      <c r="C180" s="307"/>
      <c r="D180" s="310"/>
      <c r="E180" s="311"/>
      <c r="F180" s="307"/>
      <c r="G180" s="312"/>
      <c r="H180" s="313"/>
      <c r="I180" s="307"/>
      <c r="J180" s="309"/>
      <c r="K180" s="309"/>
    </row>
    <row r="181" spans="1:11" s="300" customFormat="1" ht="21" customHeight="1">
      <c r="A181" s="303"/>
      <c r="B181" s="304"/>
      <c r="C181" s="307"/>
      <c r="D181" s="310"/>
      <c r="E181" s="311"/>
      <c r="F181" s="307"/>
      <c r="G181" s="312"/>
      <c r="H181" s="313"/>
      <c r="I181" s="307"/>
      <c r="J181" s="309"/>
      <c r="K181" s="309"/>
    </row>
    <row r="182" spans="1:11" s="300" customFormat="1" ht="21" customHeight="1">
      <c r="A182" s="303"/>
      <c r="B182" s="304"/>
      <c r="C182" s="307"/>
      <c r="D182" s="310"/>
      <c r="E182" s="311"/>
      <c r="F182" s="307"/>
      <c r="G182" s="312"/>
      <c r="H182" s="313"/>
      <c r="I182" s="307"/>
      <c r="J182" s="309"/>
      <c r="K182" s="309"/>
    </row>
    <row r="183" spans="1:11" s="300" customFormat="1" ht="21" customHeight="1">
      <c r="A183" s="303"/>
      <c r="B183" s="304"/>
      <c r="C183" s="307"/>
      <c r="D183" s="310"/>
      <c r="E183" s="311"/>
      <c r="F183" s="307"/>
      <c r="G183" s="312"/>
      <c r="H183" s="313"/>
      <c r="I183" s="307"/>
      <c r="J183" s="309"/>
      <c r="K183" s="309"/>
    </row>
    <row r="184" spans="1:11" s="300" customFormat="1" ht="21" customHeight="1">
      <c r="A184" s="303"/>
      <c r="B184" s="304"/>
      <c r="C184" s="307"/>
      <c r="D184" s="310"/>
      <c r="E184" s="311"/>
      <c r="F184" s="307"/>
      <c r="G184" s="312"/>
      <c r="H184" s="313"/>
      <c r="I184" s="307"/>
      <c r="J184" s="309"/>
      <c r="K184" s="309"/>
    </row>
    <row r="185" spans="1:11" s="300" customFormat="1" ht="21" customHeight="1">
      <c r="A185" s="303"/>
      <c r="B185" s="304"/>
      <c r="C185" s="307"/>
      <c r="D185" s="310"/>
      <c r="E185" s="311"/>
      <c r="F185" s="307"/>
      <c r="G185" s="312"/>
      <c r="H185" s="313"/>
      <c r="I185" s="307"/>
      <c r="J185" s="309"/>
      <c r="K185" s="309"/>
    </row>
    <row r="186" spans="1:11" s="300" customFormat="1" ht="21" customHeight="1">
      <c r="A186" s="303"/>
      <c r="B186" s="304"/>
      <c r="C186" s="307"/>
      <c r="D186" s="310"/>
      <c r="E186" s="311"/>
      <c r="F186" s="307"/>
      <c r="G186" s="312"/>
      <c r="H186" s="313"/>
      <c r="I186" s="307"/>
      <c r="J186" s="309"/>
      <c r="K186" s="309"/>
    </row>
    <row r="187" spans="1:11" s="300" customFormat="1" ht="21" customHeight="1">
      <c r="A187" s="303"/>
      <c r="B187" s="304"/>
      <c r="C187" s="307"/>
      <c r="D187" s="310"/>
      <c r="E187" s="311"/>
      <c r="F187" s="307"/>
      <c r="G187" s="312"/>
      <c r="H187" s="313"/>
      <c r="I187" s="307"/>
      <c r="J187" s="309"/>
      <c r="K187" s="309"/>
    </row>
    <row r="188" spans="1:11" s="300" customFormat="1" ht="21" customHeight="1">
      <c r="A188" s="303"/>
      <c r="B188" s="304"/>
      <c r="C188" s="307"/>
      <c r="D188" s="310"/>
      <c r="E188" s="311"/>
      <c r="F188" s="307"/>
      <c r="G188" s="312"/>
      <c r="H188" s="313"/>
      <c r="I188" s="307"/>
      <c r="J188" s="309"/>
      <c r="K188" s="309"/>
    </row>
    <row r="189" spans="1:11" s="300" customFormat="1" ht="21" customHeight="1">
      <c r="A189" s="303"/>
      <c r="B189" s="304"/>
      <c r="C189" s="307"/>
      <c r="D189" s="310"/>
      <c r="E189" s="311"/>
      <c r="F189" s="307"/>
      <c r="G189" s="312"/>
      <c r="H189" s="313"/>
      <c r="I189" s="307"/>
      <c r="J189" s="309"/>
      <c r="K189" s="309"/>
    </row>
    <row r="190" spans="1:11" s="300" customFormat="1" ht="21" customHeight="1">
      <c r="A190" s="303"/>
      <c r="B190" s="304"/>
      <c r="C190" s="307"/>
      <c r="D190" s="310"/>
      <c r="E190" s="311"/>
      <c r="F190" s="307"/>
      <c r="G190" s="312"/>
      <c r="H190" s="313"/>
      <c r="I190" s="307"/>
      <c r="J190" s="309"/>
      <c r="K190" s="309"/>
    </row>
    <row r="191" spans="1:11" s="300" customFormat="1" ht="21" customHeight="1">
      <c r="A191" s="303"/>
      <c r="B191" s="304"/>
      <c r="C191" s="307"/>
      <c r="D191" s="310"/>
      <c r="E191" s="311"/>
      <c r="F191" s="307"/>
      <c r="G191" s="312"/>
      <c r="H191" s="313"/>
      <c r="I191" s="307"/>
      <c r="J191" s="309"/>
      <c r="K191" s="309"/>
    </row>
    <row r="192" spans="1:11" s="300" customFormat="1" ht="21" customHeight="1">
      <c r="A192" s="303"/>
      <c r="B192" s="304"/>
      <c r="C192" s="307"/>
      <c r="D192" s="310"/>
      <c r="E192" s="311"/>
      <c r="F192" s="307"/>
      <c r="G192" s="312"/>
      <c r="H192" s="313"/>
      <c r="I192" s="307"/>
      <c r="J192" s="309"/>
      <c r="K192" s="309"/>
    </row>
    <row r="193" spans="1:11" s="300" customFormat="1" ht="21" customHeight="1">
      <c r="A193" s="303"/>
      <c r="B193" s="304"/>
      <c r="C193" s="307"/>
      <c r="D193" s="310"/>
      <c r="E193" s="311"/>
      <c r="F193" s="307"/>
      <c r="G193" s="312"/>
      <c r="H193" s="313"/>
      <c r="I193" s="307"/>
      <c r="J193" s="309"/>
      <c r="K193" s="309"/>
    </row>
    <row r="194" spans="1:11" s="300" customFormat="1" ht="21" customHeight="1">
      <c r="A194" s="303"/>
      <c r="B194" s="304"/>
      <c r="C194" s="307"/>
      <c r="D194" s="310"/>
      <c r="E194" s="311"/>
      <c r="F194" s="307"/>
      <c r="G194" s="312"/>
      <c r="H194" s="313"/>
      <c r="I194" s="307"/>
      <c r="J194" s="309"/>
      <c r="K194" s="309"/>
    </row>
    <row r="195" spans="1:11" s="300" customFormat="1" ht="21" customHeight="1">
      <c r="A195" s="303"/>
      <c r="B195" s="304"/>
      <c r="C195" s="307"/>
      <c r="D195" s="310"/>
      <c r="E195" s="311"/>
      <c r="F195" s="307"/>
      <c r="G195" s="312"/>
      <c r="H195" s="313"/>
      <c r="I195" s="307"/>
      <c r="J195" s="309"/>
      <c r="K195" s="309"/>
    </row>
    <row r="196" spans="1:11" s="300" customFormat="1" ht="21" customHeight="1">
      <c r="A196" s="303"/>
      <c r="B196" s="304"/>
      <c r="C196" s="307"/>
      <c r="D196" s="310"/>
      <c r="E196" s="311"/>
      <c r="F196" s="307"/>
      <c r="G196" s="312"/>
      <c r="H196" s="313"/>
      <c r="I196" s="307"/>
      <c r="J196" s="309"/>
      <c r="K196" s="309"/>
    </row>
    <row r="197" spans="1:11" s="300" customFormat="1" ht="21" customHeight="1">
      <c r="A197" s="303"/>
      <c r="B197" s="304"/>
      <c r="C197" s="307"/>
      <c r="D197" s="310"/>
      <c r="E197" s="311"/>
      <c r="F197" s="307"/>
      <c r="G197" s="312"/>
      <c r="H197" s="313"/>
      <c r="I197" s="307"/>
      <c r="J197" s="309"/>
      <c r="K197" s="309"/>
    </row>
    <row r="198" spans="1:11" s="300" customFormat="1" ht="21" customHeight="1">
      <c r="A198" s="303"/>
      <c r="B198" s="304"/>
      <c r="C198" s="307"/>
      <c r="D198" s="310"/>
      <c r="E198" s="311"/>
      <c r="F198" s="307"/>
      <c r="G198" s="312"/>
      <c r="H198" s="313"/>
      <c r="I198" s="307"/>
      <c r="J198" s="309"/>
      <c r="K198" s="309"/>
    </row>
    <row r="199" spans="1:11" s="300" customFormat="1" ht="21" customHeight="1">
      <c r="A199" s="303"/>
      <c r="B199" s="304"/>
      <c r="C199" s="307"/>
      <c r="D199" s="310"/>
      <c r="E199" s="311"/>
      <c r="F199" s="307"/>
      <c r="G199" s="312"/>
      <c r="H199" s="313"/>
      <c r="I199" s="307"/>
      <c r="J199" s="309"/>
      <c r="K199" s="309"/>
    </row>
    <row r="200" spans="1:11" s="300" customFormat="1" ht="21" customHeight="1">
      <c r="A200" s="303"/>
      <c r="B200" s="304"/>
      <c r="C200" s="307"/>
      <c r="D200" s="310"/>
      <c r="E200" s="311"/>
      <c r="F200" s="307"/>
      <c r="G200" s="312"/>
      <c r="H200" s="313"/>
      <c r="I200" s="307"/>
      <c r="J200" s="309"/>
      <c r="K200" s="309"/>
    </row>
    <row r="201" spans="1:11" s="300" customFormat="1" ht="21" customHeight="1">
      <c r="A201" s="303"/>
      <c r="B201" s="304"/>
      <c r="C201" s="307"/>
      <c r="D201" s="310"/>
      <c r="E201" s="311"/>
      <c r="F201" s="307"/>
      <c r="G201" s="312"/>
      <c r="H201" s="313"/>
      <c r="I201" s="307"/>
      <c r="J201" s="309"/>
      <c r="K201" s="309"/>
    </row>
    <row r="202" spans="1:11" s="300" customFormat="1" ht="21" customHeight="1">
      <c r="A202" s="303"/>
      <c r="B202" s="304"/>
      <c r="C202" s="307"/>
      <c r="D202" s="310"/>
      <c r="E202" s="311"/>
      <c r="F202" s="307"/>
      <c r="G202" s="312"/>
      <c r="H202" s="313"/>
      <c r="I202" s="307"/>
      <c r="J202" s="309"/>
      <c r="K202" s="309"/>
    </row>
    <row r="203" spans="1:11" s="300" customFormat="1" ht="21" customHeight="1">
      <c r="A203" s="303"/>
      <c r="B203" s="304"/>
      <c r="C203" s="307"/>
      <c r="D203" s="310"/>
      <c r="E203" s="311"/>
      <c r="F203" s="307"/>
      <c r="G203" s="312"/>
      <c r="H203" s="313"/>
      <c r="I203" s="307"/>
      <c r="J203" s="309"/>
      <c r="K203" s="309"/>
    </row>
    <row r="204" spans="1:11" s="300" customFormat="1" ht="21" customHeight="1">
      <c r="A204" s="303"/>
      <c r="B204" s="304"/>
      <c r="C204" s="307"/>
      <c r="D204" s="310"/>
      <c r="E204" s="311"/>
      <c r="F204" s="307"/>
      <c r="G204" s="312"/>
      <c r="H204" s="313"/>
      <c r="I204" s="307"/>
      <c r="J204" s="309"/>
      <c r="K204" s="309"/>
    </row>
    <row r="205" spans="1:11" s="300" customFormat="1" ht="21" customHeight="1">
      <c r="A205" s="303"/>
      <c r="B205" s="304"/>
      <c r="C205" s="307"/>
      <c r="D205" s="310"/>
      <c r="E205" s="311"/>
      <c r="F205" s="307"/>
      <c r="G205" s="312"/>
      <c r="H205" s="313"/>
      <c r="I205" s="307"/>
      <c r="J205" s="309"/>
      <c r="K205" s="309"/>
    </row>
    <row r="206" spans="1:11" s="300" customFormat="1" ht="21" customHeight="1">
      <c r="A206" s="303"/>
      <c r="B206" s="304"/>
      <c r="C206" s="307"/>
      <c r="D206" s="310"/>
      <c r="E206" s="311"/>
      <c r="F206" s="307"/>
      <c r="G206" s="312"/>
      <c r="H206" s="313"/>
      <c r="I206" s="307"/>
      <c r="J206" s="309"/>
      <c r="K206" s="309"/>
    </row>
    <row r="207" spans="1:11" s="300" customFormat="1" ht="21" customHeight="1">
      <c r="A207" s="303"/>
      <c r="B207" s="304"/>
      <c r="C207" s="307"/>
      <c r="D207" s="310"/>
      <c r="E207" s="311"/>
      <c r="F207" s="307"/>
      <c r="G207" s="312"/>
      <c r="H207" s="313"/>
      <c r="I207" s="307"/>
      <c r="J207" s="309"/>
      <c r="K207" s="309"/>
    </row>
    <row r="208" spans="1:11" s="300" customFormat="1" ht="21" customHeight="1">
      <c r="A208" s="303"/>
      <c r="B208" s="304"/>
      <c r="C208" s="307"/>
      <c r="D208" s="310"/>
      <c r="E208" s="311"/>
      <c r="F208" s="307"/>
      <c r="G208" s="312"/>
      <c r="H208" s="313"/>
      <c r="I208" s="307"/>
      <c r="J208" s="309"/>
      <c r="K208" s="309"/>
    </row>
    <row r="209" spans="1:11" s="300" customFormat="1" ht="21" customHeight="1">
      <c r="A209" s="303"/>
      <c r="B209" s="304"/>
      <c r="C209" s="307"/>
      <c r="D209" s="310"/>
      <c r="E209" s="311"/>
      <c r="F209" s="307"/>
      <c r="G209" s="312"/>
      <c r="H209" s="313"/>
      <c r="I209" s="307"/>
      <c r="J209" s="309"/>
      <c r="K209" s="309"/>
    </row>
    <row r="210" spans="1:11" s="300" customFormat="1" ht="21" customHeight="1">
      <c r="A210" s="303"/>
      <c r="B210" s="304"/>
      <c r="C210" s="307"/>
      <c r="D210" s="310"/>
      <c r="E210" s="311"/>
      <c r="F210" s="307"/>
      <c r="G210" s="312"/>
      <c r="H210" s="313"/>
      <c r="I210" s="307"/>
      <c r="J210" s="309"/>
      <c r="K210" s="309"/>
    </row>
    <row r="211" spans="1:11" s="300" customFormat="1" ht="21" customHeight="1">
      <c r="A211" s="303"/>
      <c r="B211" s="304"/>
      <c r="C211" s="307"/>
      <c r="D211" s="310"/>
      <c r="E211" s="311"/>
      <c r="F211" s="307"/>
      <c r="G211" s="312"/>
      <c r="H211" s="313"/>
      <c r="I211" s="307"/>
      <c r="J211" s="309"/>
      <c r="K211" s="309"/>
    </row>
    <row r="212" spans="1:11" s="300" customFormat="1" ht="21" customHeight="1">
      <c r="A212" s="303"/>
      <c r="B212" s="304"/>
      <c r="C212" s="307"/>
      <c r="D212" s="310"/>
      <c r="E212" s="311"/>
      <c r="F212" s="307"/>
      <c r="G212" s="312"/>
      <c r="H212" s="313"/>
      <c r="I212" s="307"/>
      <c r="J212" s="309"/>
      <c r="K212" s="309"/>
    </row>
    <row r="213" spans="1:11" s="300" customFormat="1" ht="21" customHeight="1">
      <c r="A213" s="303"/>
      <c r="B213" s="304"/>
      <c r="C213" s="307"/>
      <c r="D213" s="310"/>
      <c r="E213" s="311"/>
      <c r="F213" s="307"/>
      <c r="G213" s="312"/>
      <c r="H213" s="313"/>
      <c r="I213" s="307"/>
      <c r="J213" s="309"/>
      <c r="K213" s="309"/>
    </row>
    <row r="214" spans="1:11" s="300" customFormat="1" ht="21" customHeight="1">
      <c r="A214" s="303"/>
      <c r="B214" s="304"/>
      <c r="C214" s="307"/>
      <c r="D214" s="310"/>
      <c r="E214" s="311"/>
      <c r="F214" s="307"/>
      <c r="G214" s="312"/>
      <c r="H214" s="313"/>
      <c r="I214" s="307"/>
      <c r="J214" s="309"/>
      <c r="K214" s="309"/>
    </row>
    <row r="215" spans="1:11" s="300" customFormat="1" ht="21" customHeight="1">
      <c r="A215" s="303"/>
      <c r="B215" s="304"/>
      <c r="C215" s="307"/>
      <c r="D215" s="310"/>
      <c r="E215" s="311"/>
      <c r="F215" s="307"/>
      <c r="G215" s="312"/>
      <c r="H215" s="313"/>
      <c r="I215" s="307"/>
      <c r="J215" s="309"/>
      <c r="K215" s="309"/>
    </row>
    <row r="216" spans="1:11" s="300" customFormat="1" ht="21" customHeight="1">
      <c r="A216" s="303"/>
      <c r="B216" s="304"/>
      <c r="C216" s="307"/>
      <c r="D216" s="310"/>
      <c r="E216" s="311"/>
      <c r="F216" s="307"/>
      <c r="G216" s="312"/>
      <c r="H216" s="313"/>
      <c r="I216" s="307"/>
      <c r="J216" s="309"/>
      <c r="K216" s="309"/>
    </row>
    <row r="217" spans="1:11" s="300" customFormat="1" ht="21" customHeight="1">
      <c r="A217" s="303"/>
      <c r="B217" s="304"/>
      <c r="C217" s="307"/>
      <c r="D217" s="310"/>
      <c r="E217" s="311"/>
      <c r="F217" s="307"/>
      <c r="G217" s="312"/>
      <c r="H217" s="313"/>
      <c r="I217" s="307"/>
      <c r="J217" s="309"/>
      <c r="K217" s="309"/>
    </row>
    <row r="218" spans="1:11" s="300" customFormat="1" ht="21" customHeight="1">
      <c r="A218" s="303"/>
      <c r="B218" s="304"/>
      <c r="C218" s="307"/>
      <c r="D218" s="310"/>
      <c r="E218" s="311"/>
      <c r="F218" s="307"/>
      <c r="G218" s="312"/>
      <c r="H218" s="313"/>
      <c r="I218" s="307"/>
      <c r="J218" s="309"/>
      <c r="K218" s="309"/>
    </row>
    <row r="219" spans="1:11" s="300" customFormat="1" ht="21" customHeight="1">
      <c r="A219" s="303"/>
      <c r="B219" s="304"/>
      <c r="C219" s="307"/>
      <c r="D219" s="310"/>
      <c r="E219" s="311"/>
      <c r="F219" s="307"/>
      <c r="G219" s="312"/>
      <c r="H219" s="313"/>
      <c r="I219" s="307"/>
      <c r="J219" s="309"/>
      <c r="K219" s="309"/>
    </row>
    <row r="220" spans="1:11" s="300" customFormat="1" ht="21" customHeight="1">
      <c r="A220" s="303"/>
      <c r="B220" s="304"/>
      <c r="C220" s="307"/>
      <c r="D220" s="310"/>
      <c r="E220" s="311"/>
      <c r="F220" s="307"/>
      <c r="G220" s="312"/>
      <c r="H220" s="313"/>
      <c r="I220" s="307"/>
      <c r="J220" s="309"/>
      <c r="K220" s="309"/>
    </row>
    <row r="221" spans="1:11" s="300" customFormat="1" ht="21" customHeight="1">
      <c r="A221" s="303"/>
      <c r="B221" s="304"/>
      <c r="C221" s="307"/>
      <c r="D221" s="310"/>
      <c r="E221" s="311"/>
      <c r="F221" s="307"/>
      <c r="G221" s="312"/>
      <c r="H221" s="313"/>
      <c r="I221" s="307"/>
      <c r="J221" s="309"/>
      <c r="K221" s="309"/>
    </row>
    <row r="222" spans="1:11" s="300" customFormat="1" ht="21" customHeight="1">
      <c r="A222" s="303"/>
      <c r="B222" s="304"/>
      <c r="C222" s="307"/>
      <c r="D222" s="310"/>
      <c r="E222" s="311"/>
      <c r="F222" s="307"/>
      <c r="G222" s="312"/>
      <c r="H222" s="313"/>
      <c r="I222" s="307"/>
      <c r="J222" s="309"/>
      <c r="K222" s="309"/>
    </row>
    <row r="223" spans="1:11" s="300" customFormat="1" ht="21" customHeight="1">
      <c r="A223" s="303"/>
      <c r="B223" s="304"/>
      <c r="C223" s="307"/>
      <c r="D223" s="310"/>
      <c r="E223" s="311"/>
      <c r="F223" s="307"/>
      <c r="G223" s="312"/>
      <c r="H223" s="313"/>
      <c r="I223" s="307"/>
      <c r="J223" s="309"/>
      <c r="K223" s="309"/>
    </row>
    <row r="224" spans="1:11" s="300" customFormat="1" ht="21" customHeight="1">
      <c r="A224" s="303"/>
      <c r="B224" s="304"/>
      <c r="C224" s="307"/>
      <c r="D224" s="310"/>
      <c r="E224" s="311"/>
      <c r="F224" s="307"/>
      <c r="G224" s="312"/>
      <c r="H224" s="313"/>
      <c r="I224" s="307"/>
      <c r="J224" s="309"/>
      <c r="K224" s="309"/>
    </row>
    <row r="225" spans="1:11" s="300" customFormat="1" ht="21" customHeight="1">
      <c r="A225" s="303"/>
      <c r="B225" s="304"/>
      <c r="C225" s="307"/>
      <c r="D225" s="310"/>
      <c r="E225" s="311"/>
      <c r="F225" s="307"/>
      <c r="G225" s="312"/>
      <c r="H225" s="313"/>
      <c r="I225" s="307"/>
      <c r="J225" s="309"/>
      <c r="K225" s="309"/>
    </row>
    <row r="226" spans="1:11" s="300" customFormat="1" ht="21" customHeight="1">
      <c r="A226" s="303"/>
      <c r="B226" s="304"/>
      <c r="C226" s="307"/>
      <c r="D226" s="310"/>
      <c r="E226" s="311"/>
      <c r="F226" s="307"/>
      <c r="G226" s="312"/>
      <c r="H226" s="313"/>
      <c r="I226" s="307"/>
      <c r="J226" s="309"/>
      <c r="K226" s="309"/>
    </row>
    <row r="227" spans="1:11" s="300" customFormat="1" ht="21" customHeight="1">
      <c r="A227" s="303"/>
      <c r="B227" s="304"/>
      <c r="C227" s="307"/>
      <c r="D227" s="310"/>
      <c r="E227" s="311"/>
      <c r="F227" s="307"/>
      <c r="G227" s="312"/>
      <c r="H227" s="313"/>
      <c r="I227" s="307"/>
      <c r="J227" s="309"/>
      <c r="K227" s="309"/>
    </row>
    <row r="228" spans="1:11" s="300" customFormat="1" ht="21" customHeight="1">
      <c r="A228" s="303"/>
      <c r="B228" s="304"/>
      <c r="C228" s="307"/>
      <c r="D228" s="310"/>
      <c r="E228" s="311"/>
      <c r="F228" s="307"/>
      <c r="G228" s="312"/>
      <c r="H228" s="313"/>
      <c r="I228" s="307"/>
      <c r="J228" s="309"/>
      <c r="K228" s="309"/>
    </row>
    <row r="229" spans="1:11" s="300" customFormat="1" ht="21" customHeight="1">
      <c r="A229" s="303"/>
      <c r="B229" s="304"/>
      <c r="C229" s="307"/>
      <c r="D229" s="310"/>
      <c r="E229" s="311"/>
      <c r="F229" s="307"/>
      <c r="G229" s="312"/>
      <c r="H229" s="313"/>
      <c r="I229" s="307"/>
      <c r="J229" s="309"/>
      <c r="K229" s="309"/>
    </row>
    <row r="230" spans="1:11" s="300" customFormat="1" ht="21" customHeight="1">
      <c r="A230" s="303"/>
      <c r="B230" s="304"/>
      <c r="C230" s="307"/>
      <c r="D230" s="310"/>
      <c r="E230" s="311"/>
      <c r="F230" s="307"/>
      <c r="G230" s="312"/>
      <c r="H230" s="313"/>
      <c r="I230" s="307"/>
      <c r="J230" s="309"/>
      <c r="K230" s="309"/>
    </row>
    <row r="231" spans="1:11" s="300" customFormat="1" ht="21" customHeight="1">
      <c r="A231" s="303"/>
      <c r="B231" s="304"/>
      <c r="C231" s="307"/>
      <c r="D231" s="310"/>
      <c r="E231" s="311"/>
      <c r="F231" s="307"/>
      <c r="G231" s="312"/>
      <c r="H231" s="313"/>
      <c r="I231" s="307"/>
      <c r="J231" s="309"/>
      <c r="K231" s="309"/>
    </row>
    <row r="232" spans="1:11" s="300" customFormat="1" ht="21" customHeight="1">
      <c r="A232" s="303"/>
      <c r="B232" s="304"/>
      <c r="C232" s="307"/>
      <c r="D232" s="310"/>
      <c r="E232" s="311"/>
      <c r="F232" s="307"/>
      <c r="G232" s="312"/>
      <c r="H232" s="313"/>
      <c r="I232" s="307"/>
      <c r="J232" s="309"/>
      <c r="K232" s="309"/>
    </row>
    <row r="233" spans="1:11" s="300" customFormat="1" ht="21" customHeight="1">
      <c r="A233" s="303"/>
      <c r="B233" s="304"/>
      <c r="C233" s="307"/>
      <c r="D233" s="310"/>
      <c r="E233" s="311"/>
      <c r="F233" s="307"/>
      <c r="G233" s="312"/>
      <c r="H233" s="313"/>
      <c r="I233" s="307"/>
      <c r="J233" s="309"/>
      <c r="K233" s="309"/>
    </row>
    <row r="234" spans="1:11" s="300" customFormat="1" ht="21" customHeight="1">
      <c r="A234" s="303"/>
      <c r="B234" s="304"/>
      <c r="C234" s="307"/>
      <c r="D234" s="310"/>
      <c r="E234" s="311"/>
      <c r="F234" s="307"/>
      <c r="G234" s="312"/>
      <c r="H234" s="313"/>
      <c r="I234" s="307"/>
      <c r="J234" s="309"/>
      <c r="K234" s="309"/>
    </row>
    <row r="235" spans="1:11" s="300" customFormat="1" ht="21" customHeight="1">
      <c r="A235" s="303"/>
      <c r="B235" s="304"/>
      <c r="C235" s="307"/>
      <c r="D235" s="310"/>
      <c r="E235" s="311"/>
      <c r="F235" s="307"/>
      <c r="G235" s="312"/>
      <c r="H235" s="313"/>
      <c r="I235" s="307"/>
      <c r="J235" s="309"/>
      <c r="K235" s="309"/>
    </row>
    <row r="236" spans="1:11" s="300" customFormat="1" ht="21" customHeight="1">
      <c r="A236" s="303"/>
      <c r="B236" s="304"/>
      <c r="C236" s="307"/>
      <c r="D236" s="310"/>
      <c r="E236" s="311"/>
      <c r="F236" s="307"/>
      <c r="G236" s="312"/>
      <c r="H236" s="313"/>
      <c r="I236" s="307"/>
      <c r="J236" s="309"/>
      <c r="K236" s="309"/>
    </row>
    <row r="237" spans="1:11" s="300" customFormat="1" ht="21" customHeight="1">
      <c r="A237" s="303"/>
      <c r="B237" s="304"/>
      <c r="C237" s="307"/>
      <c r="D237" s="310"/>
      <c r="E237" s="311"/>
      <c r="F237" s="307"/>
      <c r="G237" s="312"/>
      <c r="H237" s="313"/>
      <c r="I237" s="307"/>
      <c r="J237" s="309"/>
      <c r="K237" s="309"/>
    </row>
    <row r="238" spans="1:11" s="300" customFormat="1" ht="21" customHeight="1">
      <c r="A238" s="303"/>
      <c r="B238" s="304"/>
      <c r="C238" s="307"/>
      <c r="D238" s="310"/>
      <c r="E238" s="311"/>
      <c r="F238" s="307"/>
      <c r="G238" s="312"/>
      <c r="H238" s="313"/>
      <c r="I238" s="307"/>
      <c r="J238" s="309"/>
      <c r="K238" s="309"/>
    </row>
    <row r="239" spans="1:11" s="300" customFormat="1" ht="21" customHeight="1">
      <c r="A239" s="303"/>
      <c r="B239" s="304"/>
      <c r="C239" s="307"/>
      <c r="D239" s="310"/>
      <c r="E239" s="311"/>
      <c r="F239" s="307"/>
      <c r="G239" s="312"/>
      <c r="H239" s="313"/>
      <c r="I239" s="307"/>
      <c r="J239" s="309"/>
      <c r="K239" s="309"/>
    </row>
    <row r="240" spans="1:11" s="300" customFormat="1" ht="21" customHeight="1">
      <c r="A240" s="303"/>
      <c r="B240" s="304"/>
      <c r="C240" s="307"/>
      <c r="D240" s="310"/>
      <c r="E240" s="311"/>
      <c r="F240" s="307"/>
      <c r="G240" s="312"/>
      <c r="H240" s="313"/>
      <c r="I240" s="307"/>
      <c r="J240" s="309"/>
      <c r="K240" s="309"/>
    </row>
    <row r="241" spans="1:11" s="300" customFormat="1" ht="21" customHeight="1">
      <c r="A241" s="303"/>
      <c r="B241" s="304"/>
      <c r="C241" s="307"/>
      <c r="D241" s="310"/>
      <c r="E241" s="311"/>
      <c r="F241" s="307"/>
      <c r="G241" s="312"/>
      <c r="H241" s="313"/>
      <c r="I241" s="307"/>
      <c r="J241" s="309"/>
      <c r="K241" s="309"/>
    </row>
    <row r="242" spans="1:11" s="300" customFormat="1" ht="21" customHeight="1">
      <c r="A242" s="303"/>
      <c r="B242" s="304"/>
      <c r="C242" s="307"/>
      <c r="D242" s="310"/>
      <c r="E242" s="311"/>
      <c r="F242" s="307"/>
      <c r="G242" s="312"/>
      <c r="H242" s="313"/>
      <c r="I242" s="307"/>
      <c r="J242" s="309"/>
      <c r="K242" s="309"/>
    </row>
    <row r="243" spans="1:11" s="300" customFormat="1" ht="21" customHeight="1">
      <c r="A243" s="303"/>
      <c r="B243" s="304"/>
      <c r="C243" s="307"/>
      <c r="D243" s="310"/>
      <c r="E243" s="311"/>
      <c r="F243" s="307"/>
      <c r="G243" s="312"/>
      <c r="H243" s="313"/>
      <c r="I243" s="307"/>
      <c r="J243" s="309"/>
      <c r="K243" s="309"/>
    </row>
    <row r="244" spans="1:11" s="300" customFormat="1" ht="21" customHeight="1">
      <c r="A244" s="303"/>
      <c r="B244" s="304"/>
      <c r="C244" s="307"/>
      <c r="D244" s="310"/>
      <c r="E244" s="311"/>
      <c r="F244" s="307"/>
      <c r="G244" s="312"/>
      <c r="H244" s="313"/>
      <c r="I244" s="307"/>
      <c r="J244" s="309"/>
      <c r="K244" s="309"/>
    </row>
    <row r="245" spans="1:11" s="300" customFormat="1" ht="21" customHeight="1">
      <c r="A245" s="303"/>
      <c r="B245" s="304"/>
      <c r="C245" s="307"/>
      <c r="D245" s="310"/>
      <c r="E245" s="311"/>
      <c r="F245" s="307"/>
      <c r="G245" s="312"/>
      <c r="H245" s="313"/>
      <c r="I245" s="307"/>
      <c r="J245" s="309"/>
      <c r="K245" s="309"/>
    </row>
    <row r="246" spans="1:11" s="300" customFormat="1" ht="21" customHeight="1">
      <c r="A246" s="303"/>
      <c r="B246" s="304"/>
      <c r="C246" s="307"/>
      <c r="D246" s="310"/>
      <c r="E246" s="311"/>
      <c r="F246" s="307"/>
      <c r="G246" s="312"/>
      <c r="H246" s="313"/>
      <c r="I246" s="307"/>
      <c r="J246" s="309"/>
      <c r="K246" s="309"/>
    </row>
    <row r="247" spans="1:11" s="300" customFormat="1" ht="21" customHeight="1">
      <c r="A247" s="303"/>
      <c r="B247" s="304"/>
      <c r="C247" s="307"/>
      <c r="D247" s="310"/>
      <c r="E247" s="311"/>
      <c r="F247" s="307"/>
      <c r="G247" s="312"/>
      <c r="H247" s="313"/>
      <c r="I247" s="307"/>
      <c r="J247" s="309"/>
      <c r="K247" s="309"/>
    </row>
    <row r="248" spans="1:11" s="300" customFormat="1" ht="21" customHeight="1">
      <c r="A248" s="303"/>
      <c r="B248" s="304"/>
      <c r="C248" s="307"/>
      <c r="D248" s="310"/>
      <c r="E248" s="311"/>
      <c r="F248" s="307"/>
      <c r="G248" s="312"/>
      <c r="H248" s="313"/>
      <c r="I248" s="307"/>
      <c r="J248" s="309"/>
      <c r="K248" s="309"/>
    </row>
    <row r="249" spans="1:11" s="300" customFormat="1" ht="21" customHeight="1">
      <c r="A249" s="303"/>
      <c r="B249" s="304"/>
      <c r="C249" s="307"/>
      <c r="D249" s="310"/>
      <c r="E249" s="311"/>
      <c r="F249" s="307"/>
      <c r="G249" s="312"/>
      <c r="H249" s="313"/>
      <c r="I249" s="307"/>
      <c r="J249" s="309"/>
      <c r="K249" s="309"/>
    </row>
    <row r="250" spans="1:11" s="300" customFormat="1" ht="21" customHeight="1">
      <c r="A250" s="303"/>
      <c r="B250" s="304"/>
      <c r="C250" s="307"/>
      <c r="D250" s="310"/>
      <c r="E250" s="311"/>
      <c r="F250" s="307"/>
      <c r="G250" s="312"/>
      <c r="H250" s="313"/>
      <c r="I250" s="307"/>
      <c r="J250" s="309"/>
      <c r="K250" s="309"/>
    </row>
    <row r="251" spans="1:11" s="300" customFormat="1" ht="21" customHeight="1">
      <c r="A251" s="303"/>
      <c r="B251" s="304"/>
      <c r="C251" s="307"/>
      <c r="D251" s="310"/>
      <c r="E251" s="311"/>
      <c r="F251" s="307"/>
      <c r="G251" s="312"/>
      <c r="H251" s="313"/>
      <c r="I251" s="307"/>
      <c r="J251" s="309"/>
      <c r="K251" s="309"/>
    </row>
    <row r="252" spans="1:11" s="300" customFormat="1" ht="21" customHeight="1">
      <c r="A252" s="303"/>
      <c r="B252" s="304"/>
      <c r="C252" s="307"/>
      <c r="D252" s="310"/>
      <c r="E252" s="311"/>
      <c r="F252" s="307"/>
      <c r="G252" s="312"/>
      <c r="H252" s="313"/>
      <c r="I252" s="307"/>
      <c r="J252" s="309"/>
      <c r="K252" s="309"/>
    </row>
    <row r="253" spans="1:11" s="300" customFormat="1" ht="21" customHeight="1">
      <c r="A253" s="303"/>
      <c r="B253" s="304"/>
      <c r="C253" s="307"/>
      <c r="D253" s="310"/>
      <c r="E253" s="311"/>
      <c r="F253" s="307"/>
      <c r="G253" s="312"/>
      <c r="H253" s="313"/>
      <c r="I253" s="307"/>
      <c r="J253" s="309"/>
      <c r="K253" s="309"/>
    </row>
    <row r="254" spans="1:11" s="300" customFormat="1" ht="21" customHeight="1">
      <c r="A254" s="303"/>
      <c r="B254" s="304"/>
      <c r="C254" s="307"/>
      <c r="D254" s="310"/>
      <c r="E254" s="311"/>
      <c r="F254" s="307"/>
      <c r="G254" s="312"/>
      <c r="H254" s="313"/>
      <c r="I254" s="307"/>
      <c r="J254" s="309"/>
      <c r="K254" s="309"/>
    </row>
    <row r="255" spans="1:11" s="300" customFormat="1" ht="21" customHeight="1">
      <c r="A255" s="303"/>
      <c r="B255" s="304"/>
      <c r="C255" s="307"/>
      <c r="D255" s="310"/>
      <c r="E255" s="311"/>
      <c r="F255" s="307"/>
      <c r="G255" s="312"/>
      <c r="H255" s="313"/>
      <c r="I255" s="307"/>
      <c r="J255" s="309"/>
      <c r="K255" s="309"/>
    </row>
    <row r="256" spans="1:11" s="300" customFormat="1" ht="21" customHeight="1">
      <c r="A256" s="303"/>
      <c r="B256" s="304"/>
      <c r="C256" s="307"/>
      <c r="D256" s="310"/>
      <c r="E256" s="311"/>
      <c r="F256" s="307"/>
      <c r="G256" s="312"/>
      <c r="H256" s="313"/>
      <c r="I256" s="307"/>
      <c r="J256" s="309"/>
      <c r="K256" s="309"/>
    </row>
    <row r="257" spans="1:11" s="300" customFormat="1" ht="21" customHeight="1">
      <c r="A257" s="303"/>
      <c r="B257" s="304"/>
      <c r="C257" s="307"/>
      <c r="D257" s="310"/>
      <c r="E257" s="311"/>
      <c r="F257" s="307"/>
      <c r="G257" s="312"/>
      <c r="H257" s="313"/>
      <c r="I257" s="307"/>
      <c r="J257" s="309"/>
      <c r="K257" s="309"/>
    </row>
    <row r="258" spans="1:11" s="300" customFormat="1" ht="21" customHeight="1">
      <c r="A258" s="303"/>
      <c r="B258" s="304"/>
      <c r="C258" s="307"/>
      <c r="D258" s="310"/>
      <c r="E258" s="311"/>
      <c r="F258" s="307"/>
      <c r="G258" s="312"/>
      <c r="H258" s="313"/>
      <c r="I258" s="307"/>
      <c r="J258" s="309"/>
      <c r="K258" s="309"/>
    </row>
    <row r="259" spans="1:11" s="300" customFormat="1" ht="21" customHeight="1">
      <c r="A259" s="303"/>
      <c r="B259" s="304"/>
      <c r="C259" s="307"/>
      <c r="D259" s="310"/>
      <c r="E259" s="311"/>
      <c r="F259" s="307"/>
      <c r="G259" s="312"/>
      <c r="H259" s="313"/>
      <c r="I259" s="307"/>
      <c r="J259" s="309"/>
      <c r="K259" s="309"/>
    </row>
    <row r="260" spans="1:11" s="300" customFormat="1" ht="21" customHeight="1">
      <c r="A260" s="303"/>
      <c r="B260" s="304"/>
      <c r="C260" s="307"/>
      <c r="D260" s="310"/>
      <c r="E260" s="311"/>
      <c r="F260" s="307"/>
      <c r="G260" s="312"/>
      <c r="H260" s="313"/>
      <c r="I260" s="307"/>
      <c r="J260" s="309"/>
      <c r="K260" s="309"/>
    </row>
    <row r="261" spans="1:11" s="300" customFormat="1" ht="21" customHeight="1">
      <c r="A261" s="303"/>
      <c r="B261" s="304"/>
      <c r="C261" s="307"/>
      <c r="D261" s="310"/>
      <c r="E261" s="311"/>
      <c r="F261" s="307"/>
      <c r="G261" s="312"/>
      <c r="H261" s="313"/>
      <c r="I261" s="307"/>
      <c r="J261" s="309"/>
      <c r="K261" s="309"/>
    </row>
    <row r="262" spans="1:11" s="300" customFormat="1" ht="21" customHeight="1" thickBot="1">
      <c r="A262" s="316" t="s">
        <v>395</v>
      </c>
      <c r="B262" s="317"/>
      <c r="C262" s="318">
        <f>SUM(C25:C261)</f>
        <v>4977.699639286092</v>
      </c>
      <c r="D262" s="318">
        <f>SUM(D26:D261)</f>
        <v>108</v>
      </c>
      <c r="E262" s="318">
        <f>SUM(E26:E261)</f>
        <v>60665.99999999989</v>
      </c>
      <c r="F262" s="318">
        <v>0</v>
      </c>
      <c r="G262" s="318">
        <f>SUM(G26:G261)</f>
        <v>131287.39927857218</v>
      </c>
      <c r="H262" s="318">
        <f>SUM(H26:H261)</f>
        <v>131287.39927857218</v>
      </c>
      <c r="I262" s="307"/>
      <c r="J262" s="309"/>
      <c r="K262" s="309"/>
    </row>
    <row r="263" spans="1:11" s="300" customFormat="1" ht="21" customHeight="1" thickBot="1">
      <c r="A263" s="319"/>
      <c r="B263" s="319"/>
      <c r="C263" s="319"/>
      <c r="D263" s="320"/>
      <c r="E263" s="320"/>
      <c r="F263" s="319"/>
      <c r="G263" s="360"/>
      <c r="H263" s="360"/>
      <c r="I263" s="307"/>
      <c r="J263" s="309"/>
      <c r="K263" s="309"/>
    </row>
    <row r="264" spans="1:11" s="300" customFormat="1" ht="21" customHeight="1" thickBot="1">
      <c r="A264" s="319"/>
      <c r="B264" s="319"/>
      <c r="C264" s="319"/>
      <c r="D264" s="320"/>
      <c r="E264" s="357"/>
      <c r="F264" s="357"/>
      <c r="G264" s="321" t="s">
        <v>209</v>
      </c>
      <c r="H264" s="322"/>
      <c r="I264" s="307"/>
      <c r="J264" s="309"/>
      <c r="K264" s="309"/>
    </row>
    <row r="265" spans="1:11" s="300" customFormat="1" ht="21" customHeight="1">
      <c r="A265" s="323"/>
      <c r="B265" s="323"/>
      <c r="C265" s="323"/>
      <c r="D265" s="324"/>
      <c r="E265" s="324"/>
      <c r="F265" s="323"/>
      <c r="G265" s="323"/>
      <c r="H265" s="324"/>
      <c r="I265" s="307"/>
      <c r="J265" s="309"/>
      <c r="K265" s="309"/>
    </row>
    <row r="266" spans="1:11" s="300" customFormat="1" ht="21" customHeight="1">
      <c r="A266" s="240"/>
      <c r="B266" s="240"/>
      <c r="C266" s="240"/>
      <c r="D266" s="325"/>
      <c r="E266" s="325"/>
      <c r="F266" s="240"/>
      <c r="G266" s="240"/>
      <c r="H266" s="325"/>
      <c r="I266" s="307"/>
      <c r="J266" s="309"/>
      <c r="K266" s="309"/>
    </row>
    <row r="267" spans="1:11" s="300" customFormat="1" ht="21" customHeight="1">
      <c r="A267" s="240"/>
      <c r="B267" s="240"/>
      <c r="C267" s="240"/>
      <c r="D267" s="325"/>
      <c r="E267" s="325"/>
      <c r="F267" s="240"/>
      <c r="G267" s="240"/>
      <c r="H267" s="325"/>
      <c r="I267" s="307"/>
      <c r="J267" s="309"/>
      <c r="K267" s="309"/>
    </row>
    <row r="268" spans="1:11" s="300" customFormat="1" ht="21" customHeight="1">
      <c r="A268" s="240"/>
      <c r="B268" s="240"/>
      <c r="C268" s="240"/>
      <c r="D268" s="325"/>
      <c r="E268" s="325"/>
      <c r="F268" s="240"/>
      <c r="G268" s="240"/>
      <c r="H268" s="325"/>
      <c r="I268" s="307"/>
      <c r="J268" s="309"/>
      <c r="K268" s="309"/>
    </row>
    <row r="269" spans="1:11" s="300" customFormat="1" ht="21" customHeight="1">
      <c r="A269" s="240"/>
      <c r="B269" s="240"/>
      <c r="C269" s="240"/>
      <c r="D269" s="325"/>
      <c r="E269" s="325"/>
      <c r="F269" s="240"/>
      <c r="G269" s="240"/>
      <c r="H269" s="325"/>
      <c r="I269" s="307"/>
      <c r="J269" s="309"/>
      <c r="K269" s="309"/>
    </row>
    <row r="270" spans="1:11" s="300" customFormat="1" ht="21" customHeight="1">
      <c r="A270" s="240"/>
      <c r="B270" s="240"/>
      <c r="C270" s="240"/>
      <c r="D270" s="325"/>
      <c r="E270" s="325"/>
      <c r="F270" s="240"/>
      <c r="G270" s="240"/>
      <c r="H270" s="325"/>
      <c r="I270" s="307"/>
      <c r="J270" s="309"/>
      <c r="K270" s="309"/>
    </row>
    <row r="271" spans="1:11" s="300" customFormat="1" ht="21" customHeight="1">
      <c r="A271" s="240"/>
      <c r="B271" s="240"/>
      <c r="C271" s="240"/>
      <c r="D271" s="325"/>
      <c r="E271" s="325"/>
      <c r="F271" s="240"/>
      <c r="G271" s="240"/>
      <c r="H271" s="325"/>
      <c r="I271" s="307"/>
      <c r="J271" s="309"/>
      <c r="K271" s="309"/>
    </row>
    <row r="272" spans="1:11" s="300" customFormat="1" ht="21" customHeight="1">
      <c r="A272" s="240"/>
      <c r="B272" s="240"/>
      <c r="C272" s="240"/>
      <c r="D272" s="325"/>
      <c r="E272" s="325"/>
      <c r="F272" s="240"/>
      <c r="G272" s="240"/>
      <c r="H272" s="325"/>
      <c r="I272" s="307"/>
      <c r="J272" s="309"/>
      <c r="K272" s="309"/>
    </row>
    <row r="273" spans="1:11" s="300" customFormat="1" ht="21" customHeight="1">
      <c r="A273" s="240"/>
      <c r="B273" s="240"/>
      <c r="C273" s="240"/>
      <c r="D273" s="240"/>
      <c r="E273" s="240"/>
      <c r="F273" s="240"/>
      <c r="G273" s="240"/>
      <c r="H273" s="325"/>
      <c r="I273" s="307"/>
      <c r="J273" s="309"/>
      <c r="K273" s="309"/>
    </row>
    <row r="274" spans="1:11" s="300" customFormat="1" ht="21" customHeight="1">
      <c r="A274" s="240"/>
      <c r="B274" s="240"/>
      <c r="C274" s="240"/>
      <c r="D274" s="240"/>
      <c r="E274" s="240"/>
      <c r="F274" s="240"/>
      <c r="G274" s="240"/>
      <c r="H274" s="325"/>
      <c r="I274" s="307"/>
      <c r="J274" s="309"/>
      <c r="K274" s="309"/>
    </row>
    <row r="275" spans="1:11" s="300" customFormat="1" ht="21" customHeight="1">
      <c r="A275" s="240"/>
      <c r="B275" s="240"/>
      <c r="C275" s="240"/>
      <c r="D275" s="240"/>
      <c r="E275" s="240"/>
      <c r="F275" s="240"/>
      <c r="G275" s="240"/>
      <c r="H275" s="325"/>
      <c r="I275" s="307"/>
      <c r="J275" s="309"/>
      <c r="K275" s="309"/>
    </row>
    <row r="276" spans="1:11" s="300" customFormat="1" ht="21" customHeight="1">
      <c r="A276" s="240"/>
      <c r="B276" s="240"/>
      <c r="C276" s="240"/>
      <c r="D276" s="240"/>
      <c r="E276" s="240"/>
      <c r="F276" s="240"/>
      <c r="G276" s="240"/>
      <c r="H276" s="325"/>
      <c r="I276" s="307"/>
      <c r="J276" s="309"/>
      <c r="K276" s="309"/>
    </row>
    <row r="277" spans="1:11" s="300" customFormat="1" ht="21" customHeight="1">
      <c r="A277" s="240"/>
      <c r="B277" s="240"/>
      <c r="C277" s="240"/>
      <c r="D277" s="240"/>
      <c r="E277" s="240"/>
      <c r="F277" s="240"/>
      <c r="G277" s="240"/>
      <c r="H277" s="325"/>
      <c r="I277" s="307"/>
      <c r="J277" s="309"/>
      <c r="K277" s="309"/>
    </row>
    <row r="278" spans="1:11" s="300" customFormat="1" ht="21" customHeight="1">
      <c r="A278" s="240"/>
      <c r="B278" s="240"/>
      <c r="C278" s="240"/>
      <c r="D278" s="240"/>
      <c r="E278" s="240"/>
      <c r="F278" s="240"/>
      <c r="G278" s="240"/>
      <c r="H278" s="325"/>
      <c r="I278" s="307"/>
      <c r="J278" s="309"/>
      <c r="K278" s="309"/>
    </row>
    <row r="279" spans="1:11" s="300" customFormat="1" ht="21" customHeight="1">
      <c r="A279" s="240"/>
      <c r="B279" s="240"/>
      <c r="C279" s="240"/>
      <c r="D279" s="240"/>
      <c r="E279" s="240"/>
      <c r="F279" s="240"/>
      <c r="G279" s="240"/>
      <c r="H279" s="325"/>
      <c r="I279" s="307"/>
      <c r="J279" s="309"/>
      <c r="K279" s="309"/>
    </row>
    <row r="280" spans="1:11" s="300" customFormat="1" ht="21" customHeight="1">
      <c r="A280" s="240"/>
      <c r="B280" s="240"/>
      <c r="C280" s="240"/>
      <c r="D280" s="240"/>
      <c r="E280" s="240"/>
      <c r="F280" s="240"/>
      <c r="G280" s="240"/>
      <c r="H280" s="325"/>
      <c r="I280" s="307"/>
      <c r="J280" s="309"/>
      <c r="K280" s="309"/>
    </row>
    <row r="281" spans="1:11" s="300" customFormat="1" ht="21" customHeight="1">
      <c r="A281" s="240"/>
      <c r="B281" s="240"/>
      <c r="C281" s="240"/>
      <c r="D281" s="240"/>
      <c r="E281" s="240"/>
      <c r="F281" s="240"/>
      <c r="G281" s="240"/>
      <c r="H281" s="325"/>
      <c r="I281" s="307"/>
      <c r="J281" s="309"/>
      <c r="K281" s="309"/>
    </row>
    <row r="282" spans="1:11" s="300" customFormat="1" ht="21" customHeight="1">
      <c r="A282" s="240"/>
      <c r="B282" s="240"/>
      <c r="C282" s="240"/>
      <c r="D282" s="240"/>
      <c r="E282" s="240"/>
      <c r="F282" s="240"/>
      <c r="G282" s="240"/>
      <c r="H282" s="325"/>
      <c r="I282" s="307"/>
      <c r="J282" s="309"/>
      <c r="K282" s="309"/>
    </row>
    <row r="283" spans="1:11" s="300" customFormat="1" ht="21" customHeight="1">
      <c r="A283" s="240"/>
      <c r="B283" s="240"/>
      <c r="C283" s="240"/>
      <c r="D283" s="240"/>
      <c r="E283" s="240"/>
      <c r="F283" s="240"/>
      <c r="G283" s="240"/>
      <c r="H283" s="325"/>
      <c r="I283" s="307"/>
      <c r="J283" s="309"/>
      <c r="K283" s="309"/>
    </row>
    <row r="284" spans="1:11" s="300" customFormat="1" ht="21" customHeight="1">
      <c r="A284" s="240"/>
      <c r="B284" s="240"/>
      <c r="C284" s="240"/>
      <c r="D284" s="240"/>
      <c r="E284" s="240"/>
      <c r="F284" s="240"/>
      <c r="G284" s="240"/>
      <c r="H284" s="325"/>
      <c r="I284" s="307"/>
      <c r="J284" s="309"/>
      <c r="K284" s="309"/>
    </row>
    <row r="285" spans="1:11" s="300" customFormat="1" ht="21" customHeight="1">
      <c r="A285" s="240"/>
      <c r="B285" s="240"/>
      <c r="C285" s="240"/>
      <c r="D285" s="240"/>
      <c r="E285" s="240"/>
      <c r="F285" s="240"/>
      <c r="G285" s="240"/>
      <c r="H285" s="325"/>
      <c r="I285" s="307"/>
      <c r="J285" s="309"/>
      <c r="K285" s="309"/>
    </row>
    <row r="286" spans="1:11" s="300" customFormat="1" ht="21" customHeight="1">
      <c r="A286" s="240"/>
      <c r="B286" s="240"/>
      <c r="C286" s="240"/>
      <c r="D286" s="240"/>
      <c r="E286" s="240"/>
      <c r="F286" s="240"/>
      <c r="G286" s="240"/>
      <c r="H286" s="325"/>
      <c r="I286" s="307"/>
      <c r="J286" s="309"/>
      <c r="K286" s="309"/>
    </row>
    <row r="287" spans="1:11" s="300" customFormat="1" ht="21" customHeight="1">
      <c r="A287" s="240"/>
      <c r="B287" s="240"/>
      <c r="C287" s="240"/>
      <c r="D287" s="240"/>
      <c r="E287" s="240"/>
      <c r="F287" s="240"/>
      <c r="G287" s="240"/>
      <c r="H287" s="325"/>
      <c r="I287" s="307"/>
      <c r="J287" s="309"/>
      <c r="K287" s="309"/>
    </row>
    <row r="288" spans="1:11" s="300" customFormat="1" ht="21" customHeight="1">
      <c r="A288" s="240"/>
      <c r="B288" s="240"/>
      <c r="C288" s="240"/>
      <c r="D288" s="240"/>
      <c r="E288" s="240"/>
      <c r="F288" s="240"/>
      <c r="G288" s="240"/>
      <c r="H288" s="325"/>
      <c r="I288" s="307"/>
      <c r="J288" s="309"/>
      <c r="K288" s="309"/>
    </row>
    <row r="289" spans="1:11" s="300" customFormat="1" ht="21" customHeight="1">
      <c r="A289" s="240"/>
      <c r="B289" s="240"/>
      <c r="C289" s="240"/>
      <c r="D289" s="240"/>
      <c r="E289" s="240"/>
      <c r="F289" s="240"/>
      <c r="G289" s="240"/>
      <c r="H289" s="325"/>
      <c r="I289" s="307"/>
      <c r="J289" s="309"/>
      <c r="K289" s="309"/>
    </row>
    <row r="290" spans="1:11" s="300" customFormat="1" ht="21" customHeight="1">
      <c r="A290" s="240"/>
      <c r="B290" s="240"/>
      <c r="C290" s="240"/>
      <c r="D290" s="240"/>
      <c r="E290" s="240"/>
      <c r="F290" s="240"/>
      <c r="G290" s="240"/>
      <c r="H290" s="325"/>
      <c r="I290" s="307"/>
      <c r="J290" s="309"/>
      <c r="K290" s="309"/>
    </row>
    <row r="291" spans="1:11" s="300" customFormat="1" ht="21" customHeight="1">
      <c r="A291" s="240"/>
      <c r="B291" s="240"/>
      <c r="C291" s="240"/>
      <c r="D291" s="240"/>
      <c r="E291" s="240"/>
      <c r="F291" s="240"/>
      <c r="G291" s="240"/>
      <c r="H291" s="325"/>
      <c r="I291" s="307"/>
      <c r="J291" s="309"/>
      <c r="K291" s="309"/>
    </row>
    <row r="292" spans="1:11" s="300" customFormat="1" ht="21" customHeight="1">
      <c r="A292" s="240"/>
      <c r="B292" s="240"/>
      <c r="C292" s="240"/>
      <c r="D292" s="240"/>
      <c r="E292" s="240"/>
      <c r="F292" s="240"/>
      <c r="G292" s="240"/>
      <c r="H292" s="325"/>
      <c r="I292" s="307"/>
      <c r="J292" s="309"/>
      <c r="K292" s="309"/>
    </row>
    <row r="293" spans="1:11" s="300" customFormat="1" ht="21" customHeight="1">
      <c r="A293" s="240"/>
      <c r="B293" s="240"/>
      <c r="C293" s="240"/>
      <c r="D293" s="240"/>
      <c r="E293" s="240"/>
      <c r="F293" s="240"/>
      <c r="G293" s="240"/>
      <c r="H293" s="325"/>
      <c r="I293" s="307"/>
      <c r="J293" s="309"/>
      <c r="K293" s="309"/>
    </row>
    <row r="294" spans="1:11" s="300" customFormat="1" ht="21" customHeight="1">
      <c r="A294" s="240"/>
      <c r="B294" s="240"/>
      <c r="C294" s="240"/>
      <c r="D294" s="240"/>
      <c r="E294" s="240"/>
      <c r="F294" s="240"/>
      <c r="G294" s="240"/>
      <c r="H294" s="325"/>
      <c r="I294" s="307"/>
      <c r="J294" s="309"/>
      <c r="K294" s="309"/>
    </row>
    <row r="295" spans="1:11" s="300" customFormat="1" ht="21" customHeight="1">
      <c r="A295" s="240"/>
      <c r="B295" s="240"/>
      <c r="C295" s="240"/>
      <c r="D295" s="240"/>
      <c r="E295" s="240"/>
      <c r="F295" s="240"/>
      <c r="G295" s="240"/>
      <c r="H295" s="325"/>
      <c r="I295" s="307"/>
      <c r="J295" s="309"/>
      <c r="K295" s="309"/>
    </row>
    <row r="296" spans="1:11" s="300" customFormat="1" ht="21" customHeight="1">
      <c r="A296" s="240"/>
      <c r="B296" s="240"/>
      <c r="C296" s="240"/>
      <c r="D296" s="240"/>
      <c r="E296" s="240"/>
      <c r="F296" s="240"/>
      <c r="G296" s="240"/>
      <c r="H296" s="325"/>
      <c r="I296" s="307"/>
      <c r="J296" s="309"/>
      <c r="K296" s="309"/>
    </row>
    <row r="297" spans="1:11" s="300" customFormat="1" ht="21" customHeight="1">
      <c r="A297" s="240"/>
      <c r="B297" s="240"/>
      <c r="C297" s="240"/>
      <c r="D297" s="240"/>
      <c r="E297" s="240"/>
      <c r="F297" s="240"/>
      <c r="G297" s="240"/>
      <c r="H297" s="325"/>
      <c r="I297" s="307"/>
      <c r="J297" s="309"/>
      <c r="K297" s="309"/>
    </row>
    <row r="298" spans="1:11" s="300" customFormat="1" ht="21" customHeight="1">
      <c r="A298" s="240"/>
      <c r="B298" s="240"/>
      <c r="C298" s="240"/>
      <c r="D298" s="240"/>
      <c r="E298" s="240"/>
      <c r="F298" s="240"/>
      <c r="G298" s="240"/>
      <c r="H298" s="325"/>
      <c r="I298" s="307"/>
      <c r="J298" s="309"/>
      <c r="K298" s="309"/>
    </row>
    <row r="299" spans="1:11" s="300" customFormat="1" ht="21" customHeight="1">
      <c r="A299" s="240"/>
      <c r="B299" s="240"/>
      <c r="C299" s="240"/>
      <c r="D299" s="240"/>
      <c r="E299" s="240"/>
      <c r="F299" s="240"/>
      <c r="G299" s="240"/>
      <c r="H299" s="325"/>
      <c r="I299" s="307"/>
      <c r="J299" s="309"/>
      <c r="K299" s="309"/>
    </row>
    <row r="300" spans="1:11" s="300" customFormat="1" ht="21" customHeight="1">
      <c r="A300" s="240"/>
      <c r="B300" s="240"/>
      <c r="C300" s="240"/>
      <c r="D300" s="240"/>
      <c r="E300" s="240"/>
      <c r="F300" s="240"/>
      <c r="G300" s="240"/>
      <c r="H300" s="325"/>
      <c r="I300" s="307"/>
      <c r="J300" s="309"/>
      <c r="K300" s="309"/>
    </row>
    <row r="301" spans="1:11" s="300" customFormat="1" ht="21" customHeight="1">
      <c r="A301" s="240"/>
      <c r="B301" s="240"/>
      <c r="C301" s="240"/>
      <c r="D301" s="240"/>
      <c r="E301" s="240"/>
      <c r="F301" s="240"/>
      <c r="G301" s="240"/>
      <c r="H301" s="325"/>
      <c r="I301" s="307"/>
      <c r="J301" s="309"/>
      <c r="K301" s="309"/>
    </row>
    <row r="302" spans="1:11" s="300" customFormat="1" ht="21" customHeight="1">
      <c r="A302" s="240"/>
      <c r="B302" s="240"/>
      <c r="C302" s="240"/>
      <c r="D302" s="240"/>
      <c r="E302" s="240"/>
      <c r="F302" s="240"/>
      <c r="G302" s="240"/>
      <c r="H302" s="325"/>
      <c r="I302" s="307"/>
      <c r="J302" s="309"/>
      <c r="K302" s="309"/>
    </row>
    <row r="303" spans="1:11" s="300" customFormat="1" ht="21" customHeight="1">
      <c r="A303" s="240"/>
      <c r="B303" s="240"/>
      <c r="C303" s="240"/>
      <c r="D303" s="240"/>
      <c r="E303" s="240"/>
      <c r="F303" s="240"/>
      <c r="G303" s="240"/>
      <c r="H303" s="325"/>
      <c r="I303" s="307"/>
      <c r="J303" s="309"/>
      <c r="K303" s="309"/>
    </row>
    <row r="304" spans="1:11" s="300" customFormat="1" ht="21" customHeight="1">
      <c r="A304" s="240"/>
      <c r="B304" s="240"/>
      <c r="C304" s="240"/>
      <c r="D304" s="240"/>
      <c r="E304" s="240"/>
      <c r="F304" s="240"/>
      <c r="G304" s="240"/>
      <c r="H304" s="325"/>
      <c r="I304" s="307"/>
      <c r="J304" s="309"/>
      <c r="K304" s="309"/>
    </row>
    <row r="305" spans="1:11" s="300" customFormat="1" ht="21" customHeight="1">
      <c r="A305" s="240"/>
      <c r="B305" s="240"/>
      <c r="C305" s="240"/>
      <c r="D305" s="240"/>
      <c r="E305" s="240"/>
      <c r="F305" s="240"/>
      <c r="G305" s="240"/>
      <c r="H305" s="325"/>
      <c r="I305" s="307"/>
      <c r="J305" s="309"/>
      <c r="K305" s="309"/>
    </row>
    <row r="306" spans="1:11" s="300" customFormat="1" ht="21" customHeight="1">
      <c r="A306" s="240"/>
      <c r="B306" s="240"/>
      <c r="C306" s="240"/>
      <c r="D306" s="240"/>
      <c r="E306" s="240"/>
      <c r="F306" s="240"/>
      <c r="G306" s="240"/>
      <c r="H306" s="325"/>
      <c r="I306" s="307"/>
      <c r="J306" s="309"/>
      <c r="K306" s="309"/>
    </row>
    <row r="307" spans="1:11" s="300" customFormat="1" ht="21" customHeight="1">
      <c r="A307" s="240"/>
      <c r="B307" s="240"/>
      <c r="C307" s="240"/>
      <c r="D307" s="240"/>
      <c r="E307" s="240"/>
      <c r="F307" s="240"/>
      <c r="G307" s="240"/>
      <c r="H307" s="325"/>
      <c r="I307" s="307"/>
      <c r="J307" s="309"/>
      <c r="K307" s="309"/>
    </row>
    <row r="308" spans="1:11" s="300" customFormat="1" ht="21" customHeight="1">
      <c r="A308" s="240"/>
      <c r="B308" s="240"/>
      <c r="C308" s="240"/>
      <c r="D308" s="240"/>
      <c r="E308" s="240"/>
      <c r="F308" s="240"/>
      <c r="G308" s="240"/>
      <c r="H308" s="325"/>
      <c r="I308" s="307"/>
      <c r="J308" s="309"/>
      <c r="K308" s="309"/>
    </row>
    <row r="309" spans="1:11" s="300" customFormat="1" ht="21" customHeight="1">
      <c r="A309" s="240"/>
      <c r="B309" s="240"/>
      <c r="C309" s="240"/>
      <c r="D309" s="240"/>
      <c r="E309" s="240"/>
      <c r="F309" s="240"/>
      <c r="G309" s="240"/>
      <c r="H309" s="325"/>
      <c r="I309" s="307"/>
      <c r="J309" s="309"/>
      <c r="K309" s="309"/>
    </row>
    <row r="310" spans="1:11" s="300" customFormat="1" ht="21" customHeight="1">
      <c r="A310" s="240"/>
      <c r="B310" s="240"/>
      <c r="C310" s="240"/>
      <c r="D310" s="240"/>
      <c r="E310" s="240"/>
      <c r="F310" s="240"/>
      <c r="G310" s="240"/>
      <c r="H310" s="325"/>
      <c r="I310" s="307"/>
      <c r="J310" s="309"/>
      <c r="K310" s="309"/>
    </row>
    <row r="311" spans="1:11" s="300" customFormat="1" ht="21" customHeight="1">
      <c r="A311" s="240"/>
      <c r="B311" s="240"/>
      <c r="C311" s="240"/>
      <c r="D311" s="240"/>
      <c r="E311" s="240"/>
      <c r="F311" s="240"/>
      <c r="G311" s="240"/>
      <c r="H311" s="325"/>
      <c r="I311" s="307"/>
      <c r="J311" s="309"/>
      <c r="K311" s="309"/>
    </row>
    <row r="312" spans="1:11" s="300" customFormat="1" ht="21" customHeight="1">
      <c r="A312" s="240"/>
      <c r="B312" s="240"/>
      <c r="C312" s="240"/>
      <c r="D312" s="240"/>
      <c r="E312" s="240"/>
      <c r="F312" s="240"/>
      <c r="G312" s="240"/>
      <c r="H312" s="325"/>
      <c r="I312" s="307"/>
      <c r="J312" s="309"/>
      <c r="K312" s="309"/>
    </row>
    <row r="313" spans="1:11" s="300" customFormat="1" ht="21" customHeight="1">
      <c r="A313" s="240"/>
      <c r="B313" s="240"/>
      <c r="C313" s="240"/>
      <c r="D313" s="240"/>
      <c r="E313" s="240"/>
      <c r="F313" s="240"/>
      <c r="G313" s="240"/>
      <c r="H313" s="325"/>
      <c r="I313" s="307"/>
      <c r="J313" s="309"/>
      <c r="K313" s="309"/>
    </row>
    <row r="314" spans="1:11" s="300" customFormat="1" ht="21" customHeight="1">
      <c r="A314" s="240"/>
      <c r="B314" s="240"/>
      <c r="C314" s="240"/>
      <c r="D314" s="240"/>
      <c r="E314" s="240"/>
      <c r="F314" s="240"/>
      <c r="G314" s="240"/>
      <c r="H314" s="325"/>
      <c r="I314" s="307"/>
      <c r="J314" s="309"/>
      <c r="K314" s="309"/>
    </row>
    <row r="315" spans="1:11" s="300" customFormat="1" ht="21" customHeight="1">
      <c r="A315" s="240"/>
      <c r="B315" s="240"/>
      <c r="C315" s="240"/>
      <c r="D315" s="240"/>
      <c r="E315" s="240"/>
      <c r="F315" s="240"/>
      <c r="G315" s="240"/>
      <c r="H315" s="325"/>
      <c r="I315" s="307"/>
      <c r="J315" s="309"/>
      <c r="K315" s="309"/>
    </row>
    <row r="316" spans="1:11" s="300" customFormat="1" ht="21" customHeight="1">
      <c r="A316" s="240"/>
      <c r="B316" s="240"/>
      <c r="C316" s="240"/>
      <c r="D316" s="240"/>
      <c r="E316" s="240"/>
      <c r="F316" s="240"/>
      <c r="G316" s="240"/>
      <c r="H316" s="325"/>
      <c r="I316" s="307"/>
      <c r="J316" s="309"/>
      <c r="K316" s="309"/>
    </row>
    <row r="317" spans="1:11" s="300" customFormat="1" ht="21" customHeight="1">
      <c r="A317" s="240"/>
      <c r="B317" s="240"/>
      <c r="C317" s="240"/>
      <c r="D317" s="240"/>
      <c r="E317" s="240"/>
      <c r="F317" s="240"/>
      <c r="G317" s="240"/>
      <c r="H317" s="325"/>
      <c r="I317" s="307"/>
      <c r="J317" s="309"/>
      <c r="K317" s="309"/>
    </row>
    <row r="318" spans="1:11" s="300" customFormat="1" ht="21" customHeight="1">
      <c r="A318" s="240"/>
      <c r="B318" s="240"/>
      <c r="C318" s="240"/>
      <c r="D318" s="240"/>
      <c r="E318" s="240"/>
      <c r="F318" s="240"/>
      <c r="G318" s="240"/>
      <c r="H318" s="325"/>
      <c r="I318" s="307"/>
      <c r="J318" s="309"/>
      <c r="K318" s="309"/>
    </row>
    <row r="319" spans="1:11" s="300" customFormat="1" ht="21" customHeight="1">
      <c r="A319" s="240"/>
      <c r="B319" s="240"/>
      <c r="C319" s="240"/>
      <c r="D319" s="240"/>
      <c r="E319" s="240"/>
      <c r="F319" s="240"/>
      <c r="G319" s="240"/>
      <c r="H319" s="325"/>
      <c r="I319" s="307"/>
      <c r="J319" s="309"/>
      <c r="K319" s="309"/>
    </row>
    <row r="320" spans="1:11" s="300" customFormat="1" ht="21" customHeight="1">
      <c r="A320" s="240"/>
      <c r="B320" s="240"/>
      <c r="C320" s="240"/>
      <c r="D320" s="240"/>
      <c r="E320" s="240"/>
      <c r="F320" s="240"/>
      <c r="G320" s="240"/>
      <c r="H320" s="325"/>
      <c r="I320" s="307"/>
      <c r="J320" s="309"/>
      <c r="K320" s="309"/>
    </row>
    <row r="321" spans="1:11" s="300" customFormat="1" ht="21" customHeight="1">
      <c r="A321" s="240"/>
      <c r="B321" s="240"/>
      <c r="C321" s="240"/>
      <c r="D321" s="240"/>
      <c r="E321" s="240"/>
      <c r="F321" s="240"/>
      <c r="G321" s="240"/>
      <c r="H321" s="325"/>
      <c r="I321" s="307"/>
      <c r="J321" s="309"/>
      <c r="K321" s="309"/>
    </row>
    <row r="322" spans="1:11" s="300" customFormat="1" ht="21" customHeight="1">
      <c r="A322" s="240"/>
      <c r="B322" s="240"/>
      <c r="C322" s="240"/>
      <c r="D322" s="240"/>
      <c r="E322" s="240"/>
      <c r="F322" s="240"/>
      <c r="G322" s="240"/>
      <c r="H322" s="325"/>
      <c r="I322" s="307"/>
      <c r="J322" s="309"/>
      <c r="K322" s="309"/>
    </row>
    <row r="323" spans="1:11" s="300" customFormat="1" ht="21" customHeight="1">
      <c r="A323" s="240"/>
      <c r="B323" s="240"/>
      <c r="C323" s="240"/>
      <c r="D323" s="240"/>
      <c r="E323" s="240"/>
      <c r="F323" s="240"/>
      <c r="G323" s="240"/>
      <c r="H323" s="325"/>
      <c r="I323" s="307"/>
      <c r="J323" s="309"/>
      <c r="K323" s="309"/>
    </row>
    <row r="324" spans="1:11" s="300" customFormat="1" ht="21" customHeight="1">
      <c r="A324" s="240"/>
      <c r="B324" s="240"/>
      <c r="C324" s="240"/>
      <c r="D324" s="240"/>
      <c r="E324" s="240"/>
      <c r="F324" s="240"/>
      <c r="G324" s="240"/>
      <c r="H324" s="325"/>
      <c r="I324" s="307"/>
      <c r="J324" s="309"/>
      <c r="K324" s="309"/>
    </row>
    <row r="325" spans="1:11" s="300" customFormat="1" ht="21" customHeight="1">
      <c r="A325" s="240"/>
      <c r="B325" s="240"/>
      <c r="C325" s="240"/>
      <c r="D325" s="240"/>
      <c r="E325" s="240"/>
      <c r="F325" s="240"/>
      <c r="G325" s="240"/>
      <c r="H325" s="325"/>
      <c r="I325" s="307"/>
      <c r="J325" s="309"/>
      <c r="K325" s="309"/>
    </row>
    <row r="326" spans="1:11" s="300" customFormat="1" ht="21" customHeight="1">
      <c r="A326" s="240"/>
      <c r="B326" s="240"/>
      <c r="C326" s="240"/>
      <c r="D326" s="240"/>
      <c r="E326" s="240"/>
      <c r="F326" s="240"/>
      <c r="G326" s="240"/>
      <c r="H326" s="325"/>
      <c r="I326" s="307"/>
      <c r="J326" s="309"/>
      <c r="K326" s="309"/>
    </row>
    <row r="327" spans="1:11" s="300" customFormat="1" ht="21" customHeight="1">
      <c r="A327" s="240"/>
      <c r="B327" s="240"/>
      <c r="C327" s="240"/>
      <c r="D327" s="240"/>
      <c r="E327" s="240"/>
      <c r="F327" s="240"/>
      <c r="G327" s="240"/>
      <c r="H327" s="325"/>
      <c r="I327" s="307"/>
      <c r="J327" s="309"/>
      <c r="K327" s="309"/>
    </row>
    <row r="328" spans="1:11" s="300" customFormat="1" ht="21" customHeight="1">
      <c r="A328" s="240"/>
      <c r="B328" s="240"/>
      <c r="C328" s="240"/>
      <c r="D328" s="240"/>
      <c r="E328" s="240"/>
      <c r="F328" s="240"/>
      <c r="G328" s="240"/>
      <c r="H328" s="325"/>
      <c r="I328" s="307"/>
      <c r="J328" s="309"/>
      <c r="K328" s="309"/>
    </row>
    <row r="329" spans="1:11" s="300" customFormat="1" ht="21" customHeight="1">
      <c r="A329" s="240"/>
      <c r="B329" s="240"/>
      <c r="C329" s="240"/>
      <c r="D329" s="240"/>
      <c r="E329" s="240"/>
      <c r="F329" s="240"/>
      <c r="G329" s="240"/>
      <c r="H329" s="325"/>
      <c r="I329" s="307"/>
      <c r="J329" s="309"/>
      <c r="K329" s="309"/>
    </row>
    <row r="330" spans="1:11" s="300" customFormat="1" ht="21" customHeight="1">
      <c r="A330" s="240"/>
      <c r="B330" s="240"/>
      <c r="C330" s="240"/>
      <c r="D330" s="240"/>
      <c r="E330" s="240"/>
      <c r="F330" s="240"/>
      <c r="G330" s="240"/>
      <c r="H330" s="325"/>
      <c r="I330" s="307"/>
      <c r="J330" s="309"/>
      <c r="K330" s="309"/>
    </row>
    <row r="331" spans="1:11" s="300" customFormat="1" ht="21" customHeight="1">
      <c r="A331" s="240"/>
      <c r="B331" s="240"/>
      <c r="C331" s="240"/>
      <c r="D331" s="240"/>
      <c r="E331" s="240"/>
      <c r="F331" s="240"/>
      <c r="G331" s="240"/>
      <c r="H331" s="325"/>
      <c r="I331" s="307"/>
      <c r="J331" s="309"/>
      <c r="K331" s="309"/>
    </row>
    <row r="332" spans="1:11" s="300" customFormat="1" ht="21" customHeight="1">
      <c r="A332" s="240"/>
      <c r="B332" s="240"/>
      <c r="C332" s="240"/>
      <c r="D332" s="240"/>
      <c r="E332" s="240"/>
      <c r="F332" s="240"/>
      <c r="G332" s="240"/>
      <c r="H332" s="325"/>
      <c r="I332" s="307"/>
      <c r="J332" s="309"/>
      <c r="K332" s="309"/>
    </row>
    <row r="333" spans="1:11" s="300" customFormat="1" ht="21" customHeight="1">
      <c r="A333" s="240"/>
      <c r="B333" s="240"/>
      <c r="C333" s="240"/>
      <c r="D333" s="240"/>
      <c r="E333" s="240"/>
      <c r="F333" s="240"/>
      <c r="G333" s="240"/>
      <c r="H333" s="325"/>
      <c r="I333" s="307"/>
      <c r="J333" s="309"/>
      <c r="K333" s="309"/>
    </row>
    <row r="334" spans="1:11" s="300" customFormat="1" ht="21" customHeight="1">
      <c r="A334" s="240"/>
      <c r="B334" s="240"/>
      <c r="C334" s="240"/>
      <c r="D334" s="240"/>
      <c r="E334" s="240"/>
      <c r="F334" s="240"/>
      <c r="G334" s="240"/>
      <c r="H334" s="325"/>
      <c r="I334" s="307"/>
      <c r="J334" s="309"/>
      <c r="K334" s="309"/>
    </row>
    <row r="335" spans="1:11" s="300" customFormat="1" ht="21" customHeight="1">
      <c r="A335" s="240"/>
      <c r="B335" s="240"/>
      <c r="C335" s="240"/>
      <c r="D335" s="240"/>
      <c r="E335" s="240"/>
      <c r="F335" s="240"/>
      <c r="G335" s="240"/>
      <c r="H335" s="325"/>
      <c r="I335" s="307"/>
      <c r="J335" s="309"/>
      <c r="K335" s="309"/>
    </row>
    <row r="336" spans="1:11" s="300" customFormat="1" ht="21" customHeight="1">
      <c r="A336" s="240"/>
      <c r="B336" s="240"/>
      <c r="C336" s="240"/>
      <c r="D336" s="240"/>
      <c r="E336" s="240"/>
      <c r="F336" s="240"/>
      <c r="G336" s="240"/>
      <c r="H336" s="325"/>
      <c r="I336" s="307"/>
      <c r="J336" s="309"/>
      <c r="K336" s="309"/>
    </row>
    <row r="337" spans="1:11" s="300" customFormat="1" ht="21" customHeight="1">
      <c r="A337" s="240"/>
      <c r="B337" s="240"/>
      <c r="C337" s="240"/>
      <c r="D337" s="240"/>
      <c r="E337" s="240"/>
      <c r="F337" s="240"/>
      <c r="G337" s="240"/>
      <c r="H337" s="325"/>
      <c r="I337" s="307"/>
      <c r="J337" s="309"/>
      <c r="K337" s="309"/>
    </row>
    <row r="338" spans="1:11" s="300" customFormat="1" ht="21" customHeight="1">
      <c r="A338" s="240"/>
      <c r="B338" s="240"/>
      <c r="C338" s="240"/>
      <c r="D338" s="240"/>
      <c r="E338" s="240"/>
      <c r="F338" s="240"/>
      <c r="G338" s="240"/>
      <c r="H338" s="325"/>
      <c r="I338" s="307"/>
      <c r="J338" s="309"/>
      <c r="K338" s="309"/>
    </row>
    <row r="339" spans="1:11" s="300" customFormat="1" ht="21" customHeight="1">
      <c r="A339" s="240"/>
      <c r="B339" s="240"/>
      <c r="C339" s="240"/>
      <c r="D339" s="240"/>
      <c r="E339" s="240"/>
      <c r="F339" s="240"/>
      <c r="G339" s="240"/>
      <c r="H339" s="325"/>
      <c r="I339" s="307"/>
      <c r="J339" s="309"/>
      <c r="K339" s="309"/>
    </row>
    <row r="340" spans="1:11" s="300" customFormat="1" ht="21" customHeight="1">
      <c r="A340" s="240"/>
      <c r="B340" s="240"/>
      <c r="C340" s="240"/>
      <c r="D340" s="240"/>
      <c r="E340" s="240"/>
      <c r="F340" s="240"/>
      <c r="G340" s="240"/>
      <c r="H340" s="325"/>
      <c r="I340" s="307"/>
      <c r="J340" s="309"/>
      <c r="K340" s="309"/>
    </row>
    <row r="341" spans="1:11" s="300" customFormat="1" ht="21" customHeight="1">
      <c r="A341" s="240"/>
      <c r="B341" s="240"/>
      <c r="C341" s="240"/>
      <c r="D341" s="240"/>
      <c r="E341" s="240"/>
      <c r="F341" s="240"/>
      <c r="G341" s="240"/>
      <c r="H341" s="325"/>
      <c r="I341" s="307"/>
      <c r="J341" s="309"/>
      <c r="K341" s="309"/>
    </row>
    <row r="342" spans="1:11" s="300" customFormat="1" ht="21" customHeight="1">
      <c r="A342" s="240"/>
      <c r="B342" s="240"/>
      <c r="C342" s="240"/>
      <c r="D342" s="240"/>
      <c r="E342" s="240"/>
      <c r="F342" s="240"/>
      <c r="G342" s="240"/>
      <c r="H342" s="325"/>
      <c r="I342" s="307"/>
      <c r="J342" s="309"/>
      <c r="K342" s="309"/>
    </row>
    <row r="343" spans="1:11" s="300" customFormat="1" ht="21" customHeight="1">
      <c r="A343" s="240"/>
      <c r="B343" s="240"/>
      <c r="C343" s="240"/>
      <c r="D343" s="240"/>
      <c r="E343" s="240"/>
      <c r="F343" s="240"/>
      <c r="G343" s="240"/>
      <c r="H343" s="325"/>
      <c r="I343" s="307"/>
      <c r="J343" s="309"/>
      <c r="K343" s="309"/>
    </row>
    <row r="344" spans="1:11" s="300" customFormat="1" ht="21" customHeight="1">
      <c r="A344" s="240"/>
      <c r="B344" s="240"/>
      <c r="C344" s="240"/>
      <c r="D344" s="240"/>
      <c r="E344" s="240"/>
      <c r="F344" s="240"/>
      <c r="G344" s="240"/>
      <c r="H344" s="325"/>
      <c r="I344" s="307"/>
      <c r="J344" s="309"/>
      <c r="K344" s="309"/>
    </row>
    <row r="345" spans="1:11" s="300" customFormat="1" ht="21" customHeight="1">
      <c r="A345" s="240"/>
      <c r="B345" s="240"/>
      <c r="C345" s="240"/>
      <c r="D345" s="240"/>
      <c r="E345" s="240"/>
      <c r="F345" s="240"/>
      <c r="G345" s="240"/>
      <c r="H345" s="325"/>
      <c r="I345" s="307"/>
      <c r="J345" s="309"/>
      <c r="K345" s="309"/>
    </row>
    <row r="346" spans="1:11" s="300" customFormat="1" ht="21" customHeight="1">
      <c r="A346" s="240"/>
      <c r="B346" s="240"/>
      <c r="C346" s="240"/>
      <c r="D346" s="240"/>
      <c r="E346" s="240"/>
      <c r="F346" s="240"/>
      <c r="G346" s="240"/>
      <c r="H346" s="325"/>
      <c r="I346" s="307"/>
      <c r="J346" s="309"/>
      <c r="K346" s="309"/>
    </row>
    <row r="347" spans="1:11" s="300" customFormat="1" ht="21" customHeight="1">
      <c r="A347" s="240"/>
      <c r="B347" s="240"/>
      <c r="C347" s="240"/>
      <c r="D347" s="240"/>
      <c r="E347" s="240"/>
      <c r="F347" s="240"/>
      <c r="G347" s="240"/>
      <c r="H347" s="325"/>
      <c r="I347" s="307"/>
      <c r="J347" s="309"/>
      <c r="K347" s="309"/>
    </row>
    <row r="348" spans="1:11" s="300" customFormat="1" ht="21" customHeight="1">
      <c r="A348" s="240"/>
      <c r="B348" s="240"/>
      <c r="C348" s="240"/>
      <c r="D348" s="240"/>
      <c r="E348" s="240"/>
      <c r="F348" s="240"/>
      <c r="G348" s="240"/>
      <c r="H348" s="325"/>
      <c r="I348" s="307"/>
      <c r="J348" s="309"/>
      <c r="K348" s="309"/>
    </row>
    <row r="349" spans="1:11" s="300" customFormat="1" ht="21" customHeight="1">
      <c r="A349" s="240"/>
      <c r="B349" s="240"/>
      <c r="C349" s="240"/>
      <c r="D349" s="240"/>
      <c r="E349" s="240"/>
      <c r="F349" s="240"/>
      <c r="G349" s="240"/>
      <c r="H349" s="325"/>
      <c r="I349" s="307"/>
      <c r="J349" s="309"/>
      <c r="K349" s="309"/>
    </row>
    <row r="350" spans="1:11" s="300" customFormat="1" ht="21" customHeight="1">
      <c r="A350" s="240"/>
      <c r="B350" s="240"/>
      <c r="C350" s="240"/>
      <c r="D350" s="240"/>
      <c r="E350" s="240"/>
      <c r="F350" s="240"/>
      <c r="G350" s="240"/>
      <c r="H350" s="325"/>
      <c r="I350" s="307"/>
      <c r="J350" s="309"/>
      <c r="K350" s="309"/>
    </row>
    <row r="351" spans="1:11" s="300" customFormat="1" ht="21" customHeight="1">
      <c r="A351" s="240"/>
      <c r="B351" s="240"/>
      <c r="C351" s="240"/>
      <c r="D351" s="240"/>
      <c r="E351" s="240"/>
      <c r="F351" s="240"/>
      <c r="G351" s="240"/>
      <c r="H351" s="325"/>
      <c r="I351" s="307"/>
      <c r="J351" s="309"/>
      <c r="K351" s="309"/>
    </row>
    <row r="352" spans="1:11" s="300" customFormat="1" ht="21" customHeight="1">
      <c r="A352" s="240"/>
      <c r="B352" s="240"/>
      <c r="C352" s="240"/>
      <c r="D352" s="240"/>
      <c r="E352" s="240"/>
      <c r="F352" s="240"/>
      <c r="G352" s="240"/>
      <c r="H352" s="325"/>
      <c r="I352" s="307"/>
      <c r="J352" s="309"/>
      <c r="K352" s="309"/>
    </row>
    <row r="353" spans="1:11" s="300" customFormat="1" ht="21" customHeight="1">
      <c r="A353" s="240"/>
      <c r="B353" s="240"/>
      <c r="C353" s="240"/>
      <c r="D353" s="240"/>
      <c r="E353" s="240"/>
      <c r="F353" s="240"/>
      <c r="G353" s="240"/>
      <c r="H353" s="325"/>
      <c r="I353" s="307"/>
      <c r="J353" s="309"/>
      <c r="K353" s="309"/>
    </row>
    <row r="354" spans="1:11" s="300" customFormat="1" ht="21" customHeight="1">
      <c r="A354" s="240"/>
      <c r="B354" s="240"/>
      <c r="C354" s="240"/>
      <c r="D354" s="240"/>
      <c r="E354" s="240"/>
      <c r="F354" s="240"/>
      <c r="G354" s="240"/>
      <c r="H354" s="325"/>
      <c r="I354" s="307"/>
      <c r="J354" s="309"/>
      <c r="K354" s="309"/>
    </row>
    <row r="355" spans="1:11" s="300" customFormat="1" ht="21" customHeight="1">
      <c r="A355" s="240"/>
      <c r="B355" s="240"/>
      <c r="C355" s="240"/>
      <c r="D355" s="240"/>
      <c r="E355" s="240"/>
      <c r="F355" s="240"/>
      <c r="G355" s="240"/>
      <c r="H355" s="325"/>
      <c r="I355" s="307"/>
      <c r="J355" s="309"/>
      <c r="K355" s="309"/>
    </row>
    <row r="356" spans="1:11" s="300" customFormat="1" ht="21" customHeight="1">
      <c r="A356" s="240"/>
      <c r="B356" s="240"/>
      <c r="C356" s="240"/>
      <c r="D356" s="240"/>
      <c r="E356" s="240"/>
      <c r="F356" s="240"/>
      <c r="G356" s="240"/>
      <c r="H356" s="325"/>
      <c r="I356" s="307"/>
      <c r="J356" s="309"/>
      <c r="K356" s="309"/>
    </row>
    <row r="357" spans="1:11" s="300" customFormat="1" ht="21" customHeight="1">
      <c r="A357" s="240"/>
      <c r="B357" s="240"/>
      <c r="C357" s="240"/>
      <c r="D357" s="240"/>
      <c r="E357" s="240"/>
      <c r="F357" s="240"/>
      <c r="G357" s="240"/>
      <c r="H357" s="325"/>
      <c r="I357" s="307"/>
      <c r="J357" s="309"/>
      <c r="K357" s="309"/>
    </row>
    <row r="358" spans="1:11" s="300" customFormat="1" ht="21" customHeight="1">
      <c r="A358" s="240"/>
      <c r="B358" s="240"/>
      <c r="C358" s="240"/>
      <c r="D358" s="240"/>
      <c r="E358" s="240"/>
      <c r="F358" s="240"/>
      <c r="G358" s="240"/>
      <c r="H358" s="325"/>
      <c r="I358" s="307"/>
      <c r="J358" s="309"/>
      <c r="K358" s="309"/>
    </row>
    <row r="359" spans="1:11" s="300" customFormat="1" ht="21" customHeight="1">
      <c r="A359" s="240"/>
      <c r="B359" s="240"/>
      <c r="C359" s="240"/>
      <c r="D359" s="240"/>
      <c r="E359" s="240"/>
      <c r="F359" s="240"/>
      <c r="G359" s="240"/>
      <c r="H359" s="325"/>
      <c r="I359" s="307"/>
      <c r="J359" s="309"/>
      <c r="K359" s="309"/>
    </row>
    <row r="360" spans="1:11" s="300" customFormat="1" ht="21" customHeight="1">
      <c r="A360" s="240"/>
      <c r="B360" s="240"/>
      <c r="C360" s="240"/>
      <c r="D360" s="240"/>
      <c r="E360" s="240"/>
      <c r="F360" s="240"/>
      <c r="G360" s="240"/>
      <c r="H360" s="325"/>
      <c r="I360" s="307"/>
      <c r="J360" s="309"/>
      <c r="K360" s="309"/>
    </row>
    <row r="361" spans="1:11" s="300" customFormat="1" ht="21" customHeight="1">
      <c r="A361" s="240"/>
      <c r="B361" s="240"/>
      <c r="C361" s="240"/>
      <c r="D361" s="240"/>
      <c r="E361" s="240"/>
      <c r="F361" s="240"/>
      <c r="G361" s="240"/>
      <c r="H361" s="325"/>
      <c r="I361" s="307"/>
      <c r="J361" s="309"/>
      <c r="K361" s="309"/>
    </row>
    <row r="362" spans="1:11" s="300" customFormat="1" ht="21" customHeight="1">
      <c r="A362" s="240"/>
      <c r="B362" s="240"/>
      <c r="C362" s="240"/>
      <c r="D362" s="240"/>
      <c r="E362" s="240"/>
      <c r="F362" s="240"/>
      <c r="G362" s="240"/>
      <c r="H362" s="325"/>
      <c r="I362" s="307"/>
      <c r="J362" s="309"/>
      <c r="K362" s="309"/>
    </row>
    <row r="363" spans="1:11" s="300" customFormat="1" ht="21" customHeight="1">
      <c r="A363" s="240"/>
      <c r="B363" s="240"/>
      <c r="C363" s="240"/>
      <c r="D363" s="240"/>
      <c r="E363" s="240"/>
      <c r="F363" s="240"/>
      <c r="G363" s="240"/>
      <c r="H363" s="325"/>
      <c r="I363" s="307"/>
      <c r="J363" s="309"/>
      <c r="K363" s="309"/>
    </row>
    <row r="364" spans="1:11" s="300" customFormat="1" ht="21" customHeight="1">
      <c r="A364" s="240"/>
      <c r="B364" s="240"/>
      <c r="C364" s="240"/>
      <c r="D364" s="240"/>
      <c r="E364" s="240"/>
      <c r="F364" s="240"/>
      <c r="G364" s="240"/>
      <c r="H364" s="325"/>
      <c r="I364" s="307"/>
      <c r="J364" s="309"/>
      <c r="K364" s="309"/>
    </row>
    <row r="365" spans="1:11" s="300" customFormat="1" ht="21" customHeight="1">
      <c r="A365" s="240"/>
      <c r="B365" s="240"/>
      <c r="C365" s="240"/>
      <c r="D365" s="240"/>
      <c r="E365" s="240"/>
      <c r="F365" s="240"/>
      <c r="G365" s="240"/>
      <c r="H365" s="325"/>
      <c r="I365" s="307"/>
      <c r="J365" s="309"/>
      <c r="K365" s="309"/>
    </row>
    <row r="366" spans="1:11" s="300" customFormat="1" ht="21" customHeight="1">
      <c r="A366" s="240"/>
      <c r="B366" s="240"/>
      <c r="C366" s="240"/>
      <c r="D366" s="240"/>
      <c r="E366" s="240"/>
      <c r="F366" s="240"/>
      <c r="G366" s="240"/>
      <c r="H366" s="325"/>
      <c r="I366" s="307"/>
      <c r="J366" s="309"/>
      <c r="K366" s="309"/>
    </row>
    <row r="367" spans="1:11" s="300" customFormat="1" ht="21" customHeight="1">
      <c r="A367" s="240"/>
      <c r="B367" s="240"/>
      <c r="C367" s="240"/>
      <c r="D367" s="240"/>
      <c r="E367" s="240"/>
      <c r="F367" s="240"/>
      <c r="G367" s="240"/>
      <c r="H367" s="325"/>
      <c r="I367" s="307"/>
      <c r="J367" s="309"/>
      <c r="K367" s="309"/>
    </row>
    <row r="368" spans="1:11" s="300" customFormat="1" ht="21" customHeight="1">
      <c r="A368" s="240"/>
      <c r="B368" s="240"/>
      <c r="C368" s="240"/>
      <c r="D368" s="240"/>
      <c r="E368" s="240"/>
      <c r="F368" s="240"/>
      <c r="G368" s="240"/>
      <c r="H368" s="325"/>
      <c r="I368" s="307"/>
      <c r="J368" s="309"/>
      <c r="K368" s="309"/>
    </row>
    <row r="369" spans="1:11" s="300" customFormat="1" ht="21" customHeight="1">
      <c r="A369" s="240"/>
      <c r="B369" s="240"/>
      <c r="C369" s="240"/>
      <c r="D369" s="240"/>
      <c r="E369" s="240"/>
      <c r="F369" s="240"/>
      <c r="G369" s="240"/>
      <c r="H369" s="325"/>
      <c r="I369" s="307"/>
      <c r="J369" s="309"/>
      <c r="K369" s="309"/>
    </row>
    <row r="370" spans="1:11" s="300" customFormat="1" ht="21" customHeight="1">
      <c r="A370" s="240"/>
      <c r="B370" s="240"/>
      <c r="C370" s="240"/>
      <c r="D370" s="240"/>
      <c r="E370" s="240"/>
      <c r="F370" s="240"/>
      <c r="G370" s="240"/>
      <c r="H370" s="325"/>
      <c r="I370" s="307"/>
      <c r="J370" s="309"/>
      <c r="K370" s="309"/>
    </row>
    <row r="371" spans="1:11" s="300" customFormat="1" ht="21" customHeight="1">
      <c r="A371" s="240"/>
      <c r="B371" s="240"/>
      <c r="C371" s="240"/>
      <c r="D371" s="240"/>
      <c r="E371" s="240"/>
      <c r="F371" s="240"/>
      <c r="G371" s="240"/>
      <c r="H371" s="325"/>
      <c r="I371" s="307"/>
      <c r="J371" s="309"/>
      <c r="K371" s="309"/>
    </row>
    <row r="372" spans="1:11" s="300" customFormat="1" ht="21" customHeight="1">
      <c r="A372" s="240"/>
      <c r="B372" s="240"/>
      <c r="C372" s="240"/>
      <c r="D372" s="240"/>
      <c r="E372" s="240"/>
      <c r="F372" s="240"/>
      <c r="G372" s="240"/>
      <c r="H372" s="325"/>
      <c r="I372" s="307"/>
      <c r="J372" s="309"/>
      <c r="K372" s="309"/>
    </row>
    <row r="373" spans="1:11" s="300" customFormat="1" ht="21" customHeight="1">
      <c r="A373" s="240"/>
      <c r="B373" s="240"/>
      <c r="C373" s="240"/>
      <c r="D373" s="240"/>
      <c r="E373" s="240"/>
      <c r="F373" s="240"/>
      <c r="G373" s="240"/>
      <c r="H373" s="325"/>
      <c r="I373" s="307"/>
      <c r="J373" s="309"/>
      <c r="K373" s="309"/>
    </row>
    <row r="374" spans="1:11" s="300" customFormat="1" ht="21" customHeight="1">
      <c r="A374" s="240"/>
      <c r="B374" s="240"/>
      <c r="C374" s="240"/>
      <c r="D374" s="240"/>
      <c r="E374" s="240"/>
      <c r="F374" s="240"/>
      <c r="G374" s="240"/>
      <c r="H374" s="325"/>
      <c r="I374" s="307"/>
      <c r="J374" s="309"/>
      <c r="K374" s="309"/>
    </row>
    <row r="375" spans="1:11" s="300" customFormat="1" ht="21" customHeight="1">
      <c r="A375" s="240"/>
      <c r="B375" s="240"/>
      <c r="C375" s="240"/>
      <c r="D375" s="240"/>
      <c r="E375" s="240"/>
      <c r="F375" s="240"/>
      <c r="G375" s="240"/>
      <c r="H375" s="325"/>
      <c r="I375" s="307"/>
      <c r="J375" s="309"/>
      <c r="K375" s="309"/>
    </row>
    <row r="376" spans="1:11" s="300" customFormat="1" ht="21" customHeight="1">
      <c r="A376" s="240"/>
      <c r="B376" s="240"/>
      <c r="C376" s="240"/>
      <c r="D376" s="240"/>
      <c r="E376" s="240"/>
      <c r="F376" s="240"/>
      <c r="G376" s="240"/>
      <c r="H376" s="325"/>
      <c r="I376" s="307"/>
      <c r="J376" s="309"/>
      <c r="K376" s="309"/>
    </row>
    <row r="377" spans="1:11" s="300" customFormat="1" ht="21" customHeight="1">
      <c r="A377" s="240"/>
      <c r="B377" s="240"/>
      <c r="C377" s="240"/>
      <c r="D377" s="240"/>
      <c r="E377" s="240"/>
      <c r="F377" s="240"/>
      <c r="G377" s="240"/>
      <c r="H377" s="325"/>
      <c r="I377" s="307"/>
      <c r="J377" s="309"/>
      <c r="K377" s="309"/>
    </row>
    <row r="378" spans="1:11" s="300" customFormat="1" ht="21" customHeight="1">
      <c r="A378" s="240"/>
      <c r="B378" s="240"/>
      <c r="C378" s="240"/>
      <c r="D378" s="240"/>
      <c r="E378" s="240"/>
      <c r="F378" s="240"/>
      <c r="G378" s="240"/>
      <c r="H378" s="325"/>
      <c r="I378" s="307"/>
      <c r="J378" s="309"/>
      <c r="K378" s="309"/>
    </row>
    <row r="379" spans="1:11" s="300" customFormat="1" ht="21" customHeight="1">
      <c r="A379" s="240"/>
      <c r="B379" s="240"/>
      <c r="C379" s="240"/>
      <c r="D379" s="240"/>
      <c r="E379" s="240"/>
      <c r="F379" s="240"/>
      <c r="G379" s="240"/>
      <c r="H379" s="325"/>
      <c r="I379" s="307"/>
      <c r="J379" s="309"/>
      <c r="K379" s="309"/>
    </row>
    <row r="380" spans="1:11" s="300" customFormat="1" ht="21" customHeight="1">
      <c r="A380" s="240"/>
      <c r="B380" s="240"/>
      <c r="C380" s="240"/>
      <c r="D380" s="240"/>
      <c r="E380" s="240"/>
      <c r="F380" s="240"/>
      <c r="G380" s="240"/>
      <c r="H380" s="325"/>
      <c r="I380" s="307"/>
      <c r="J380" s="309"/>
      <c r="K380" s="309"/>
    </row>
    <row r="381" spans="1:11" s="300" customFormat="1" ht="21" customHeight="1">
      <c r="A381" s="240"/>
      <c r="B381" s="240"/>
      <c r="C381" s="240"/>
      <c r="D381" s="240"/>
      <c r="E381" s="240"/>
      <c r="F381" s="240"/>
      <c r="G381" s="240"/>
      <c r="H381" s="325"/>
      <c r="I381" s="307"/>
      <c r="J381" s="309"/>
      <c r="K381" s="309"/>
    </row>
    <row r="382" spans="1:11" s="327" customFormat="1" ht="27" customHeight="1">
      <c r="A382" s="240"/>
      <c r="B382" s="240"/>
      <c r="C382" s="240"/>
      <c r="D382" s="240"/>
      <c r="E382" s="240"/>
      <c r="F382" s="240"/>
      <c r="G382" s="240"/>
      <c r="H382" s="325"/>
      <c r="I382" s="307"/>
      <c r="J382" s="326"/>
      <c r="K382" s="326"/>
    </row>
    <row r="383" spans="1:13" s="300" customFormat="1" ht="28.5" customHeight="1">
      <c r="A383" s="240"/>
      <c r="B383" s="240"/>
      <c r="C383" s="240"/>
      <c r="D383" s="240"/>
      <c r="E383" s="240"/>
      <c r="F383" s="240"/>
      <c r="G383" s="240"/>
      <c r="H383" s="325"/>
      <c r="I383" s="328"/>
      <c r="J383" s="328"/>
      <c r="K383" s="307"/>
      <c r="L383" s="309"/>
      <c r="M383" s="309"/>
    </row>
    <row r="384" spans="1:13" s="300" customFormat="1" ht="22.5" customHeight="1">
      <c r="A384" s="240"/>
      <c r="B384" s="240"/>
      <c r="C384" s="240"/>
      <c r="D384" s="240"/>
      <c r="E384" s="240"/>
      <c r="F384" s="240"/>
      <c r="G384" s="240"/>
      <c r="H384" s="325"/>
      <c r="I384" s="322"/>
      <c r="K384" s="307"/>
      <c r="L384" s="309"/>
      <c r="M384" s="309"/>
    </row>
    <row r="385" spans="8:13" ht="15.75">
      <c r="H385" s="325"/>
      <c r="I385" s="324"/>
      <c r="J385" s="324"/>
      <c r="K385" s="329"/>
      <c r="L385" s="325"/>
      <c r="M385" s="325"/>
    </row>
    <row r="386" spans="8:13" ht="15.75">
      <c r="H386" s="325"/>
      <c r="I386" s="325"/>
      <c r="J386" s="325"/>
      <c r="K386" s="329"/>
      <c r="L386" s="325"/>
      <c r="M386" s="325"/>
    </row>
    <row r="387" spans="8:13" ht="15.75">
      <c r="H387" s="325"/>
      <c r="I387" s="325"/>
      <c r="J387" s="325"/>
      <c r="K387" s="329"/>
      <c r="L387" s="325"/>
      <c r="M387" s="325"/>
    </row>
    <row r="388" spans="8:13" ht="15.75">
      <c r="H388" s="325"/>
      <c r="I388" s="325"/>
      <c r="J388" s="325"/>
      <c r="K388" s="329"/>
      <c r="L388" s="325"/>
      <c r="M388" s="325"/>
    </row>
    <row r="389" spans="8:13" ht="15.75">
      <c r="H389" s="325"/>
      <c r="I389" s="325"/>
      <c r="J389" s="325"/>
      <c r="K389" s="329"/>
      <c r="L389" s="325"/>
      <c r="M389" s="325"/>
    </row>
    <row r="390" spans="8:13" ht="15.75">
      <c r="H390" s="325"/>
      <c r="I390" s="325"/>
      <c r="J390" s="325"/>
      <c r="K390" s="329"/>
      <c r="L390" s="325"/>
      <c r="M390" s="325"/>
    </row>
    <row r="391" spans="8:13" ht="15.75">
      <c r="H391" s="325"/>
      <c r="I391" s="325"/>
      <c r="J391" s="325"/>
      <c r="K391" s="329"/>
      <c r="L391" s="325"/>
      <c r="M391" s="325"/>
    </row>
    <row r="392" spans="8:13" ht="15.75">
      <c r="H392" s="325"/>
      <c r="I392" s="325"/>
      <c r="J392" s="325"/>
      <c r="K392" s="329"/>
      <c r="L392" s="325"/>
      <c r="M392" s="325"/>
    </row>
    <row r="393" spans="8:13" ht="15.75">
      <c r="H393" s="325"/>
      <c r="I393" s="325"/>
      <c r="J393" s="325"/>
      <c r="K393" s="329"/>
      <c r="L393" s="325"/>
      <c r="M393" s="325"/>
    </row>
    <row r="394" spans="8:13" ht="15.75">
      <c r="H394" s="325"/>
      <c r="I394" s="325"/>
      <c r="J394" s="325"/>
      <c r="K394" s="329"/>
      <c r="L394" s="325"/>
      <c r="M394" s="325"/>
    </row>
    <row r="395" spans="8:13" ht="15.75">
      <c r="H395" s="325"/>
      <c r="I395" s="325"/>
      <c r="J395" s="325"/>
      <c r="K395" s="329"/>
      <c r="L395" s="325"/>
      <c r="M395" s="325"/>
    </row>
    <row r="396" spans="8:13" ht="15.75">
      <c r="H396" s="325"/>
      <c r="I396" s="325"/>
      <c r="J396" s="325"/>
      <c r="K396" s="329"/>
      <c r="L396" s="325"/>
      <c r="M396" s="325"/>
    </row>
    <row r="397" spans="8:13" ht="15.75">
      <c r="H397" s="325"/>
      <c r="I397" s="325"/>
      <c r="J397" s="325"/>
      <c r="K397" s="329"/>
      <c r="L397" s="325"/>
      <c r="M397" s="325"/>
    </row>
    <row r="398" spans="8:13" ht="15.75">
      <c r="H398" s="325"/>
      <c r="I398" s="325"/>
      <c r="J398" s="325"/>
      <c r="K398" s="329"/>
      <c r="L398" s="325"/>
      <c r="M398" s="325"/>
    </row>
    <row r="399" spans="8:13" ht="15.75">
      <c r="H399" s="325"/>
      <c r="I399" s="325"/>
      <c r="J399" s="325"/>
      <c r="K399" s="329"/>
      <c r="L399" s="325"/>
      <c r="M399" s="325"/>
    </row>
    <row r="400" spans="8:13" ht="15.75">
      <c r="H400" s="325"/>
      <c r="I400" s="325"/>
      <c r="J400" s="325"/>
      <c r="K400" s="329"/>
      <c r="L400" s="325"/>
      <c r="M400" s="325"/>
    </row>
    <row r="401" spans="8:13" ht="15.75">
      <c r="H401" s="325"/>
      <c r="I401" s="325"/>
      <c r="J401" s="325"/>
      <c r="K401" s="329"/>
      <c r="L401" s="325"/>
      <c r="M401" s="325"/>
    </row>
    <row r="402" spans="8:13" ht="15.75">
      <c r="H402" s="325"/>
      <c r="I402" s="325"/>
      <c r="J402" s="325"/>
      <c r="K402" s="329"/>
      <c r="L402" s="325"/>
      <c r="M402" s="325"/>
    </row>
    <row r="403" spans="8:13" ht="15.75">
      <c r="H403" s="325"/>
      <c r="I403" s="325"/>
      <c r="J403" s="325"/>
      <c r="K403" s="329"/>
      <c r="L403" s="325"/>
      <c r="M403" s="325"/>
    </row>
    <row r="404" spans="8:13" ht="15.75">
      <c r="H404" s="325"/>
      <c r="I404" s="325"/>
      <c r="J404" s="325"/>
      <c r="K404" s="329"/>
      <c r="L404" s="325"/>
      <c r="M404" s="325"/>
    </row>
    <row r="405" spans="8:13" ht="15.75">
      <c r="H405" s="325"/>
      <c r="I405" s="325"/>
      <c r="J405" s="325"/>
      <c r="K405" s="329"/>
      <c r="L405" s="325"/>
      <c r="M405" s="325"/>
    </row>
    <row r="406" spans="8:13" ht="15.75">
      <c r="H406" s="325"/>
      <c r="I406" s="325"/>
      <c r="J406" s="325"/>
      <c r="K406" s="329"/>
      <c r="L406" s="325"/>
      <c r="M406" s="325"/>
    </row>
    <row r="407" spans="8:13" ht="15.75">
      <c r="H407" s="325"/>
      <c r="I407" s="325"/>
      <c r="J407" s="325"/>
      <c r="K407" s="329"/>
      <c r="L407" s="325"/>
      <c r="M407" s="325"/>
    </row>
    <row r="408" spans="8:13" ht="15.75">
      <c r="H408" s="325"/>
      <c r="I408" s="325"/>
      <c r="J408" s="325"/>
      <c r="K408" s="329"/>
      <c r="L408" s="325"/>
      <c r="M408" s="325"/>
    </row>
    <row r="409" spans="8:13" ht="15.75">
      <c r="H409" s="325"/>
      <c r="I409" s="325"/>
      <c r="J409" s="325"/>
      <c r="K409" s="329"/>
      <c r="L409" s="325"/>
      <c r="M409" s="325"/>
    </row>
    <row r="410" spans="8:13" ht="15.75">
      <c r="H410" s="325"/>
      <c r="I410" s="325"/>
      <c r="J410" s="325"/>
      <c r="K410" s="329"/>
      <c r="L410" s="325"/>
      <c r="M410" s="325"/>
    </row>
    <row r="411" spans="8:13" ht="15.75">
      <c r="H411" s="325"/>
      <c r="I411" s="325"/>
      <c r="J411" s="325"/>
      <c r="K411" s="329"/>
      <c r="L411" s="325"/>
      <c r="M411" s="325"/>
    </row>
    <row r="412" spans="8:13" ht="15.75">
      <c r="H412" s="325"/>
      <c r="I412" s="325"/>
      <c r="J412" s="325"/>
      <c r="K412" s="329"/>
      <c r="L412" s="325"/>
      <c r="M412" s="325"/>
    </row>
    <row r="413" spans="8:13" ht="15.75">
      <c r="H413" s="325"/>
      <c r="I413" s="325"/>
      <c r="J413" s="325"/>
      <c r="K413" s="329"/>
      <c r="L413" s="325"/>
      <c r="M413" s="325"/>
    </row>
    <row r="414" spans="8:13" ht="15.75">
      <c r="H414" s="325"/>
      <c r="I414" s="325"/>
      <c r="J414" s="325"/>
      <c r="K414" s="329"/>
      <c r="L414" s="325"/>
      <c r="M414" s="325"/>
    </row>
    <row r="415" spans="8:13" ht="15.75">
      <c r="H415" s="325"/>
      <c r="I415" s="325"/>
      <c r="J415" s="325"/>
      <c r="K415" s="329"/>
      <c r="L415" s="325"/>
      <c r="M415" s="325"/>
    </row>
    <row r="416" spans="8:13" ht="15.75">
      <c r="H416" s="325"/>
      <c r="I416" s="325"/>
      <c r="J416" s="325"/>
      <c r="K416" s="329"/>
      <c r="L416" s="325"/>
      <c r="M416" s="325"/>
    </row>
    <row r="417" spans="8:13" ht="15.75">
      <c r="H417" s="325"/>
      <c r="I417" s="325"/>
      <c r="J417" s="325"/>
      <c r="K417" s="329"/>
      <c r="L417" s="325"/>
      <c r="M417" s="325"/>
    </row>
    <row r="418" spans="8:13" ht="15.75">
      <c r="H418" s="325"/>
      <c r="I418" s="325"/>
      <c r="J418" s="325"/>
      <c r="K418" s="329"/>
      <c r="L418" s="325"/>
      <c r="M418" s="325"/>
    </row>
    <row r="419" spans="8:13" ht="15.75">
      <c r="H419" s="325"/>
      <c r="I419" s="325"/>
      <c r="J419" s="325"/>
      <c r="K419" s="329"/>
      <c r="L419" s="325"/>
      <c r="M419" s="325"/>
    </row>
    <row r="420" spans="8:13" ht="15.75">
      <c r="H420" s="325"/>
      <c r="I420" s="325"/>
      <c r="J420" s="325"/>
      <c r="K420" s="329"/>
      <c r="L420" s="325"/>
      <c r="M420" s="325"/>
    </row>
    <row r="421" spans="8:13" ht="15.75">
      <c r="H421" s="325"/>
      <c r="I421" s="325"/>
      <c r="J421" s="325"/>
      <c r="K421" s="329"/>
      <c r="L421" s="325"/>
      <c r="M421" s="325"/>
    </row>
    <row r="422" spans="8:13" ht="15.75">
      <c r="H422" s="325"/>
      <c r="I422" s="325"/>
      <c r="J422" s="325"/>
      <c r="K422" s="329"/>
      <c r="L422" s="325"/>
      <c r="M422" s="325"/>
    </row>
    <row r="423" spans="8:13" ht="15.75">
      <c r="H423" s="325"/>
      <c r="I423" s="325"/>
      <c r="J423" s="325"/>
      <c r="K423" s="329"/>
      <c r="L423" s="325"/>
      <c r="M423" s="325"/>
    </row>
    <row r="424" spans="8:13" ht="15.75">
      <c r="H424" s="325"/>
      <c r="I424" s="325"/>
      <c r="J424" s="325"/>
      <c r="K424" s="329"/>
      <c r="L424" s="325"/>
      <c r="M424" s="325"/>
    </row>
    <row r="425" spans="8:13" ht="15.75">
      <c r="H425" s="325"/>
      <c r="I425" s="325"/>
      <c r="J425" s="325"/>
      <c r="K425" s="329"/>
      <c r="L425" s="325"/>
      <c r="M425" s="325"/>
    </row>
    <row r="426" spans="8:13" ht="15.75">
      <c r="H426" s="325"/>
      <c r="I426" s="325"/>
      <c r="J426" s="325"/>
      <c r="K426" s="329"/>
      <c r="L426" s="325"/>
      <c r="M426" s="325"/>
    </row>
    <row r="427" spans="8:13" ht="15.75">
      <c r="H427" s="325"/>
      <c r="I427" s="325"/>
      <c r="J427" s="325"/>
      <c r="K427" s="329"/>
      <c r="L427" s="325"/>
      <c r="M427" s="325"/>
    </row>
    <row r="428" spans="8:13" ht="15.75">
      <c r="H428" s="325"/>
      <c r="I428" s="325"/>
      <c r="J428" s="325"/>
      <c r="K428" s="329"/>
      <c r="L428" s="325"/>
      <c r="M428" s="325"/>
    </row>
    <row r="429" spans="8:13" ht="15.75">
      <c r="H429" s="325"/>
      <c r="I429" s="325"/>
      <c r="J429" s="325"/>
      <c r="K429" s="329"/>
      <c r="L429" s="325"/>
      <c r="M429" s="325"/>
    </row>
    <row r="430" spans="8:13" ht="15.75">
      <c r="H430" s="325"/>
      <c r="I430" s="325"/>
      <c r="J430" s="325"/>
      <c r="K430" s="329"/>
      <c r="L430" s="325"/>
      <c r="M430" s="325"/>
    </row>
    <row r="431" spans="8:13" ht="15.75">
      <c r="H431" s="325"/>
      <c r="I431" s="325"/>
      <c r="J431" s="325"/>
      <c r="K431" s="329"/>
      <c r="L431" s="325"/>
      <c r="M431" s="325"/>
    </row>
    <row r="432" spans="8:13" ht="15.75">
      <c r="H432" s="325"/>
      <c r="I432" s="325"/>
      <c r="J432" s="325"/>
      <c r="K432" s="329"/>
      <c r="L432" s="325"/>
      <c r="M432" s="325"/>
    </row>
    <row r="433" spans="8:13" ht="15.75">
      <c r="H433" s="325"/>
      <c r="I433" s="325"/>
      <c r="J433" s="325"/>
      <c r="K433" s="329"/>
      <c r="L433" s="325"/>
      <c r="M433" s="325"/>
    </row>
    <row r="434" spans="8:13" ht="15.75">
      <c r="H434" s="325"/>
      <c r="I434" s="325"/>
      <c r="J434" s="325"/>
      <c r="K434" s="329"/>
      <c r="L434" s="325"/>
      <c r="M434" s="325"/>
    </row>
    <row r="435" spans="8:13" ht="15.75">
      <c r="H435" s="325"/>
      <c r="I435" s="325"/>
      <c r="J435" s="325"/>
      <c r="K435" s="329"/>
      <c r="L435" s="325"/>
      <c r="M435" s="325"/>
    </row>
    <row r="436" spans="8:13" ht="15.75">
      <c r="H436" s="325"/>
      <c r="I436" s="325"/>
      <c r="J436" s="325"/>
      <c r="K436" s="329"/>
      <c r="L436" s="325"/>
      <c r="M436" s="325"/>
    </row>
    <row r="437" spans="8:13" ht="15.75">
      <c r="H437" s="325"/>
      <c r="I437" s="325"/>
      <c r="J437" s="325"/>
      <c r="K437" s="329"/>
      <c r="L437" s="325"/>
      <c r="M437" s="325"/>
    </row>
    <row r="438" spans="8:13" ht="15.75">
      <c r="H438" s="325"/>
      <c r="I438" s="325"/>
      <c r="J438" s="325"/>
      <c r="K438" s="329"/>
      <c r="L438" s="325"/>
      <c r="M438" s="325"/>
    </row>
    <row r="439" spans="8:13" ht="15.75">
      <c r="H439" s="325"/>
      <c r="I439" s="325"/>
      <c r="J439" s="325"/>
      <c r="K439" s="329"/>
      <c r="L439" s="325"/>
      <c r="M439" s="325"/>
    </row>
    <row r="440" spans="8:13" ht="15.75">
      <c r="H440" s="325"/>
      <c r="I440" s="325"/>
      <c r="J440" s="325"/>
      <c r="K440" s="329"/>
      <c r="L440" s="325"/>
      <c r="M440" s="325"/>
    </row>
    <row r="441" spans="8:13" ht="15.75">
      <c r="H441" s="325"/>
      <c r="I441" s="325"/>
      <c r="J441" s="325"/>
      <c r="K441" s="329"/>
      <c r="L441" s="325"/>
      <c r="M441" s="325"/>
    </row>
    <row r="442" spans="8:13" ht="15.75">
      <c r="H442" s="325"/>
      <c r="I442" s="325"/>
      <c r="J442" s="325"/>
      <c r="K442" s="329"/>
      <c r="L442" s="325"/>
      <c r="M442" s="325"/>
    </row>
    <row r="443" spans="8:13" ht="15.75">
      <c r="H443" s="325"/>
      <c r="I443" s="325"/>
      <c r="J443" s="325"/>
      <c r="K443" s="329"/>
      <c r="L443" s="325"/>
      <c r="M443" s="325"/>
    </row>
    <row r="444" spans="8:13" ht="15.75">
      <c r="H444" s="325"/>
      <c r="I444" s="325"/>
      <c r="J444" s="325"/>
      <c r="K444" s="329"/>
      <c r="L444" s="325"/>
      <c r="M444" s="325"/>
    </row>
    <row r="445" spans="8:13" ht="15.75">
      <c r="H445" s="325"/>
      <c r="I445" s="325"/>
      <c r="J445" s="325"/>
      <c r="K445" s="329"/>
      <c r="L445" s="325"/>
      <c r="M445" s="325"/>
    </row>
    <row r="446" spans="8:13" ht="15.75">
      <c r="H446" s="325"/>
      <c r="I446" s="325"/>
      <c r="J446" s="325"/>
      <c r="K446" s="329"/>
      <c r="L446" s="325"/>
      <c r="M446" s="325"/>
    </row>
    <row r="447" spans="8:13" ht="15.75">
      <c r="H447" s="325"/>
      <c r="I447" s="325"/>
      <c r="J447" s="325"/>
      <c r="K447" s="329"/>
      <c r="L447" s="325"/>
      <c r="M447" s="325"/>
    </row>
    <row r="448" spans="8:13" ht="15.75">
      <c r="H448" s="325"/>
      <c r="I448" s="325"/>
      <c r="J448" s="325"/>
      <c r="K448" s="329"/>
      <c r="L448" s="325"/>
      <c r="M448" s="325"/>
    </row>
    <row r="449" spans="8:13" ht="15.75">
      <c r="H449" s="325"/>
      <c r="I449" s="325"/>
      <c r="J449" s="325"/>
      <c r="K449" s="329"/>
      <c r="L449" s="325"/>
      <c r="M449" s="325"/>
    </row>
    <row r="450" spans="8:13" ht="15.75">
      <c r="H450" s="325"/>
      <c r="I450" s="325"/>
      <c r="J450" s="325"/>
      <c r="K450" s="329"/>
      <c r="L450" s="325"/>
      <c r="M450" s="325"/>
    </row>
    <row r="451" spans="8:13" ht="15.75">
      <c r="H451" s="325"/>
      <c r="I451" s="325"/>
      <c r="J451" s="325"/>
      <c r="K451" s="329"/>
      <c r="L451" s="325"/>
      <c r="M451" s="325"/>
    </row>
    <row r="452" spans="8:13" ht="15.75">
      <c r="H452" s="325"/>
      <c r="I452" s="325"/>
      <c r="J452" s="325"/>
      <c r="K452" s="329"/>
      <c r="L452" s="325"/>
      <c r="M452" s="325"/>
    </row>
    <row r="453" spans="8:13" ht="15.75">
      <c r="H453" s="325"/>
      <c r="I453" s="325"/>
      <c r="J453" s="325"/>
      <c r="K453" s="329"/>
      <c r="L453" s="325"/>
      <c r="M453" s="325"/>
    </row>
    <row r="454" spans="8:13" ht="15.75">
      <c r="H454" s="325"/>
      <c r="I454" s="325"/>
      <c r="J454" s="325"/>
      <c r="K454" s="329"/>
      <c r="L454" s="325"/>
      <c r="M454" s="325"/>
    </row>
    <row r="455" spans="8:13" ht="15.75">
      <c r="H455" s="325"/>
      <c r="I455" s="325"/>
      <c r="J455" s="325"/>
      <c r="K455" s="329"/>
      <c r="L455" s="325"/>
      <c r="M455" s="325"/>
    </row>
    <row r="456" spans="8:13" ht="15.75">
      <c r="H456" s="325"/>
      <c r="I456" s="325"/>
      <c r="J456" s="325"/>
      <c r="K456" s="329"/>
      <c r="L456" s="325"/>
      <c r="M456" s="325"/>
    </row>
    <row r="457" spans="8:13" ht="15.75">
      <c r="H457" s="325"/>
      <c r="I457" s="325"/>
      <c r="J457" s="325"/>
      <c r="K457" s="329"/>
      <c r="L457" s="325"/>
      <c r="M457" s="325"/>
    </row>
    <row r="458" spans="8:13" ht="15.75">
      <c r="H458" s="325"/>
      <c r="I458" s="325"/>
      <c r="J458" s="325"/>
      <c r="K458" s="329"/>
      <c r="L458" s="325"/>
      <c r="M458" s="325"/>
    </row>
    <row r="459" spans="8:13" ht="15.75">
      <c r="H459" s="325"/>
      <c r="I459" s="325"/>
      <c r="J459" s="325"/>
      <c r="K459" s="329"/>
      <c r="L459" s="325"/>
      <c r="M459" s="325"/>
    </row>
    <row r="460" spans="8:13" ht="15.75">
      <c r="H460" s="325"/>
      <c r="I460" s="325"/>
      <c r="J460" s="325"/>
      <c r="K460" s="329"/>
      <c r="L460" s="325"/>
      <c r="M460" s="325"/>
    </row>
    <row r="461" spans="8:13" ht="15.75">
      <c r="H461" s="325"/>
      <c r="I461" s="325"/>
      <c r="J461" s="325"/>
      <c r="K461" s="329"/>
      <c r="L461" s="325"/>
      <c r="M461" s="325"/>
    </row>
    <row r="462" spans="8:13" ht="15.75">
      <c r="H462" s="325"/>
      <c r="I462" s="325"/>
      <c r="J462" s="325"/>
      <c r="K462" s="329"/>
      <c r="L462" s="325"/>
      <c r="M462" s="325"/>
    </row>
    <row r="463" spans="8:13" ht="15.75">
      <c r="H463" s="325"/>
      <c r="I463" s="325"/>
      <c r="J463" s="325"/>
      <c r="K463" s="329"/>
      <c r="L463" s="325"/>
      <c r="M463" s="325"/>
    </row>
    <row r="464" spans="8:13" ht="15.75">
      <c r="H464" s="325"/>
      <c r="I464" s="325"/>
      <c r="J464" s="325"/>
      <c r="K464" s="329"/>
      <c r="L464" s="325"/>
      <c r="M464" s="325"/>
    </row>
    <row r="465" spans="8:13" ht="15.75">
      <c r="H465" s="325"/>
      <c r="I465" s="325"/>
      <c r="J465" s="325"/>
      <c r="K465" s="329"/>
      <c r="L465" s="325"/>
      <c r="M465" s="325"/>
    </row>
    <row r="466" spans="8:13" ht="15.75">
      <c r="H466" s="325"/>
      <c r="I466" s="325"/>
      <c r="J466" s="325"/>
      <c r="K466" s="329"/>
      <c r="L466" s="325"/>
      <c r="M466" s="325"/>
    </row>
    <row r="467" spans="8:13" ht="15.75">
      <c r="H467" s="325"/>
      <c r="I467" s="325"/>
      <c r="J467" s="325"/>
      <c r="K467" s="329"/>
      <c r="L467" s="325"/>
      <c r="M467" s="325"/>
    </row>
    <row r="468" spans="8:13" ht="15.75">
      <c r="H468" s="325"/>
      <c r="I468" s="325"/>
      <c r="J468" s="325"/>
      <c r="K468" s="329"/>
      <c r="L468" s="325"/>
      <c r="M468" s="325"/>
    </row>
    <row r="469" spans="8:13" ht="15.75">
      <c r="H469" s="325"/>
      <c r="I469" s="325"/>
      <c r="J469" s="325"/>
      <c r="K469" s="329"/>
      <c r="L469" s="325"/>
      <c r="M469" s="325"/>
    </row>
    <row r="470" spans="8:13" ht="15.75">
      <c r="H470" s="325"/>
      <c r="I470" s="325"/>
      <c r="J470" s="325"/>
      <c r="K470" s="329"/>
      <c r="L470" s="325"/>
      <c r="M470" s="325"/>
    </row>
    <row r="471" spans="8:13" ht="15.75">
      <c r="H471" s="325"/>
      <c r="I471" s="325"/>
      <c r="J471" s="325"/>
      <c r="K471" s="329"/>
      <c r="L471" s="325"/>
      <c r="M471" s="325"/>
    </row>
    <row r="472" spans="8:13" ht="15.75">
      <c r="H472" s="325"/>
      <c r="I472" s="325"/>
      <c r="J472" s="325"/>
      <c r="K472" s="329"/>
      <c r="L472" s="325"/>
      <c r="M472" s="325"/>
    </row>
    <row r="473" spans="8:13" ht="15.75">
      <c r="H473" s="325"/>
      <c r="I473" s="325"/>
      <c r="J473" s="325"/>
      <c r="K473" s="329"/>
      <c r="L473" s="325"/>
      <c r="M473" s="325"/>
    </row>
    <row r="474" spans="8:13" ht="15.75">
      <c r="H474" s="325"/>
      <c r="I474" s="325"/>
      <c r="J474" s="325"/>
      <c r="K474" s="329"/>
      <c r="L474" s="325"/>
      <c r="M474" s="325"/>
    </row>
    <row r="475" spans="8:13" ht="15.75">
      <c r="H475" s="325"/>
      <c r="I475" s="325"/>
      <c r="J475" s="325"/>
      <c r="K475" s="329"/>
      <c r="L475" s="325"/>
      <c r="M475" s="325"/>
    </row>
    <row r="476" spans="8:13" ht="15.75">
      <c r="H476" s="325"/>
      <c r="I476" s="325"/>
      <c r="J476" s="325"/>
      <c r="K476" s="329"/>
      <c r="L476" s="325"/>
      <c r="M476" s="325"/>
    </row>
    <row r="477" spans="8:13" ht="15.75">
      <c r="H477" s="325"/>
      <c r="I477" s="325"/>
      <c r="J477" s="325"/>
      <c r="K477" s="329"/>
      <c r="L477" s="325"/>
      <c r="M477" s="325"/>
    </row>
    <row r="478" spans="8:13" ht="15.75">
      <c r="H478" s="325"/>
      <c r="I478" s="325"/>
      <c r="J478" s="325"/>
      <c r="K478" s="329"/>
      <c r="L478" s="325"/>
      <c r="M478" s="325"/>
    </row>
    <row r="479" spans="8:13" ht="15.75">
      <c r="H479" s="325"/>
      <c r="I479" s="325"/>
      <c r="J479" s="325"/>
      <c r="K479" s="329"/>
      <c r="L479" s="325"/>
      <c r="M479" s="325"/>
    </row>
    <row r="480" spans="8:13" ht="15.75">
      <c r="H480" s="325"/>
      <c r="I480" s="325"/>
      <c r="J480" s="325"/>
      <c r="K480" s="329"/>
      <c r="L480" s="325"/>
      <c r="M480" s="325"/>
    </row>
    <row r="481" spans="8:13" ht="15.75">
      <c r="H481" s="325"/>
      <c r="I481" s="325"/>
      <c r="J481" s="325"/>
      <c r="K481" s="329"/>
      <c r="L481" s="325"/>
      <c r="M481" s="325"/>
    </row>
    <row r="482" spans="8:13" ht="15.75">
      <c r="H482" s="325"/>
      <c r="I482" s="325"/>
      <c r="J482" s="325"/>
      <c r="K482" s="329"/>
      <c r="L482" s="325"/>
      <c r="M482" s="325"/>
    </row>
    <row r="483" spans="8:13" ht="15.75">
      <c r="H483" s="325"/>
      <c r="I483" s="325"/>
      <c r="J483" s="325"/>
      <c r="K483" s="329"/>
      <c r="L483" s="325"/>
      <c r="M483" s="325"/>
    </row>
    <row r="484" spans="8:13" ht="15.75">
      <c r="H484" s="325"/>
      <c r="I484" s="325"/>
      <c r="J484" s="325"/>
      <c r="K484" s="329"/>
      <c r="L484" s="325"/>
      <c r="M484" s="325"/>
    </row>
    <row r="485" spans="8:13" ht="15.75">
      <c r="H485" s="325"/>
      <c r="I485" s="325"/>
      <c r="J485" s="325"/>
      <c r="K485" s="329"/>
      <c r="L485" s="325"/>
      <c r="M485" s="325"/>
    </row>
    <row r="486" spans="8:13" ht="15.75">
      <c r="H486" s="325"/>
      <c r="I486" s="325"/>
      <c r="J486" s="325"/>
      <c r="K486" s="329"/>
      <c r="L486" s="325"/>
      <c r="M486" s="325"/>
    </row>
    <row r="487" spans="8:13" ht="15.75">
      <c r="H487" s="325"/>
      <c r="I487" s="325"/>
      <c r="J487" s="325"/>
      <c r="K487" s="329"/>
      <c r="L487" s="325"/>
      <c r="M487" s="325"/>
    </row>
    <row r="488" spans="8:13" ht="15.75">
      <c r="H488" s="325"/>
      <c r="I488" s="325"/>
      <c r="J488" s="325"/>
      <c r="K488" s="329"/>
      <c r="L488" s="325"/>
      <c r="M488" s="325"/>
    </row>
    <row r="489" spans="8:13" ht="15.75">
      <c r="H489" s="325"/>
      <c r="I489" s="325"/>
      <c r="J489" s="325"/>
      <c r="K489" s="329"/>
      <c r="L489" s="325"/>
      <c r="M489" s="325"/>
    </row>
    <row r="490" spans="8:13" ht="15.75">
      <c r="H490" s="325"/>
      <c r="I490" s="325"/>
      <c r="J490" s="325"/>
      <c r="K490" s="329"/>
      <c r="L490" s="325"/>
      <c r="M490" s="325"/>
    </row>
    <row r="491" spans="8:13" ht="15.75">
      <c r="H491" s="325"/>
      <c r="I491" s="325"/>
      <c r="J491" s="325"/>
      <c r="K491" s="329"/>
      <c r="L491" s="325"/>
      <c r="M491" s="325"/>
    </row>
    <row r="492" spans="8:13" ht="15.75">
      <c r="H492" s="325"/>
      <c r="I492" s="325"/>
      <c r="J492" s="325"/>
      <c r="K492" s="329"/>
      <c r="L492" s="325"/>
      <c r="M492" s="325"/>
    </row>
    <row r="493" spans="8:13" ht="15.75">
      <c r="H493" s="325"/>
      <c r="I493" s="325"/>
      <c r="J493" s="325"/>
      <c r="K493" s="329"/>
      <c r="L493" s="325"/>
      <c r="M493" s="325"/>
    </row>
    <row r="494" spans="8:13" ht="15.75">
      <c r="H494" s="325"/>
      <c r="I494" s="325"/>
      <c r="J494" s="325"/>
      <c r="K494" s="329"/>
      <c r="L494" s="325"/>
      <c r="M494" s="325"/>
    </row>
    <row r="495" spans="8:13" ht="15.75">
      <c r="H495" s="325"/>
      <c r="I495" s="325"/>
      <c r="J495" s="325"/>
      <c r="K495" s="329"/>
      <c r="L495" s="325"/>
      <c r="M495" s="325"/>
    </row>
    <row r="496" spans="8:13" ht="15.75">
      <c r="H496" s="325"/>
      <c r="I496" s="325"/>
      <c r="J496" s="325"/>
      <c r="K496" s="329"/>
      <c r="L496" s="325"/>
      <c r="M496" s="325"/>
    </row>
    <row r="497" spans="8:13" ht="15.75">
      <c r="H497" s="325"/>
      <c r="I497" s="325"/>
      <c r="J497" s="325"/>
      <c r="K497" s="329"/>
      <c r="L497" s="325"/>
      <c r="M497" s="325"/>
    </row>
    <row r="498" spans="8:13" ht="15.75">
      <c r="H498" s="325"/>
      <c r="I498" s="325"/>
      <c r="J498" s="325"/>
      <c r="K498" s="329"/>
      <c r="L498" s="325"/>
      <c r="M498" s="325"/>
    </row>
    <row r="499" spans="8:13" ht="15.75">
      <c r="H499" s="325"/>
      <c r="I499" s="325"/>
      <c r="J499" s="325"/>
      <c r="K499" s="329"/>
      <c r="L499" s="325"/>
      <c r="M499" s="325"/>
    </row>
    <row r="500" spans="8:13" ht="15.75">
      <c r="H500" s="325"/>
      <c r="I500" s="325"/>
      <c r="J500" s="325"/>
      <c r="K500" s="329"/>
      <c r="L500" s="325"/>
      <c r="M500" s="325"/>
    </row>
    <row r="501" spans="8:13" ht="15.75">
      <c r="H501" s="325"/>
      <c r="I501" s="325"/>
      <c r="J501" s="325"/>
      <c r="K501" s="329"/>
      <c r="L501" s="325"/>
      <c r="M501" s="325"/>
    </row>
    <row r="502" spans="8:13" ht="15.75">
      <c r="H502" s="325"/>
      <c r="I502" s="325"/>
      <c r="J502" s="325"/>
      <c r="K502" s="329"/>
      <c r="L502" s="325"/>
      <c r="M502" s="325"/>
    </row>
    <row r="503" spans="8:13" ht="15.75">
      <c r="H503" s="325"/>
      <c r="I503" s="325"/>
      <c r="J503" s="325"/>
      <c r="K503" s="329"/>
      <c r="L503" s="325"/>
      <c r="M503" s="325"/>
    </row>
    <row r="504" spans="8:13" ht="15.75">
      <c r="H504" s="325"/>
      <c r="I504" s="325"/>
      <c r="J504" s="325"/>
      <c r="K504" s="329"/>
      <c r="L504" s="325"/>
      <c r="M504" s="325"/>
    </row>
    <row r="505" spans="8:13" ht="15.75">
      <c r="H505" s="325"/>
      <c r="I505" s="325"/>
      <c r="J505" s="325"/>
      <c r="K505" s="329"/>
      <c r="L505" s="325"/>
      <c r="M505" s="325"/>
    </row>
    <row r="506" spans="8:13" ht="15.75">
      <c r="H506" s="325"/>
      <c r="I506" s="325"/>
      <c r="J506" s="325"/>
      <c r="K506" s="329"/>
      <c r="L506" s="325"/>
      <c r="M506" s="325"/>
    </row>
    <row r="507" spans="8:13" ht="15.75">
      <c r="H507" s="325"/>
      <c r="I507" s="325"/>
      <c r="J507" s="325"/>
      <c r="K507" s="329"/>
      <c r="L507" s="325"/>
      <c r="M507" s="325"/>
    </row>
    <row r="508" spans="8:13" ht="15.75">
      <c r="H508" s="325"/>
      <c r="I508" s="325"/>
      <c r="J508" s="325"/>
      <c r="K508" s="329"/>
      <c r="L508" s="325"/>
      <c r="M508" s="325"/>
    </row>
    <row r="509" spans="8:13" ht="15.75">
      <c r="H509" s="325"/>
      <c r="I509" s="325"/>
      <c r="J509" s="325"/>
      <c r="K509" s="329"/>
      <c r="L509" s="325"/>
      <c r="M509" s="325"/>
    </row>
    <row r="510" spans="8:13" ht="15.75">
      <c r="H510" s="325"/>
      <c r="I510" s="325"/>
      <c r="J510" s="325"/>
      <c r="K510" s="329"/>
      <c r="L510" s="325"/>
      <c r="M510" s="325"/>
    </row>
    <row r="511" spans="8:13" ht="15.75">
      <c r="H511" s="325"/>
      <c r="I511" s="325"/>
      <c r="J511" s="325"/>
      <c r="K511" s="329"/>
      <c r="L511" s="325"/>
      <c r="M511" s="325"/>
    </row>
    <row r="512" spans="8:13" ht="15.75">
      <c r="H512" s="325"/>
      <c r="I512" s="325"/>
      <c r="J512" s="325"/>
      <c r="K512" s="329"/>
      <c r="L512" s="325"/>
      <c r="M512" s="325"/>
    </row>
    <row r="513" spans="8:13" ht="15.75">
      <c r="H513" s="325"/>
      <c r="I513" s="325"/>
      <c r="J513" s="325"/>
      <c r="K513" s="329"/>
      <c r="L513" s="325"/>
      <c r="M513" s="325"/>
    </row>
    <row r="514" spans="8:13" ht="15.75">
      <c r="H514" s="325"/>
      <c r="I514" s="325"/>
      <c r="J514" s="325"/>
      <c r="K514" s="329"/>
      <c r="L514" s="325"/>
      <c r="M514" s="325"/>
    </row>
    <row r="515" spans="8:13" ht="15.75">
      <c r="H515" s="325"/>
      <c r="I515" s="325"/>
      <c r="J515" s="325"/>
      <c r="K515" s="329"/>
      <c r="L515" s="325"/>
      <c r="M515" s="325"/>
    </row>
    <row r="516" spans="8:13" ht="15.75">
      <c r="H516" s="325"/>
      <c r="I516" s="325"/>
      <c r="J516" s="325"/>
      <c r="K516" s="329"/>
      <c r="L516" s="325"/>
      <c r="M516" s="325"/>
    </row>
    <row r="517" spans="8:13" ht="15.75">
      <c r="H517" s="325"/>
      <c r="I517" s="325"/>
      <c r="J517" s="325"/>
      <c r="K517" s="329"/>
      <c r="L517" s="325"/>
      <c r="M517" s="325"/>
    </row>
    <row r="518" spans="8:13" ht="15.75">
      <c r="H518" s="325"/>
      <c r="I518" s="325"/>
      <c r="J518" s="325"/>
      <c r="K518" s="329"/>
      <c r="L518" s="325"/>
      <c r="M518" s="325"/>
    </row>
    <row r="519" spans="8:13" ht="15.75">
      <c r="H519" s="325"/>
      <c r="I519" s="325"/>
      <c r="J519" s="325"/>
      <c r="K519" s="329"/>
      <c r="L519" s="325"/>
      <c r="M519" s="325"/>
    </row>
    <row r="520" spans="8:13" ht="15.75">
      <c r="H520" s="325"/>
      <c r="I520" s="325"/>
      <c r="J520" s="325"/>
      <c r="K520" s="329"/>
      <c r="L520" s="325"/>
      <c r="M520" s="325"/>
    </row>
    <row r="521" spans="8:13" ht="15.75">
      <c r="H521" s="325"/>
      <c r="I521" s="325"/>
      <c r="J521" s="325"/>
      <c r="K521" s="329"/>
      <c r="L521" s="325"/>
      <c r="M521" s="325"/>
    </row>
    <row r="522" spans="8:13" ht="15.75">
      <c r="H522" s="325"/>
      <c r="I522" s="325"/>
      <c r="J522" s="325"/>
      <c r="K522" s="329"/>
      <c r="L522" s="325"/>
      <c r="M522" s="325"/>
    </row>
    <row r="523" spans="8:13" ht="15.75">
      <c r="H523" s="325"/>
      <c r="I523" s="325"/>
      <c r="J523" s="325"/>
      <c r="K523" s="329"/>
      <c r="L523" s="325"/>
      <c r="M523" s="325"/>
    </row>
    <row r="524" spans="8:13" ht="15.75">
      <c r="H524" s="325"/>
      <c r="I524" s="325"/>
      <c r="J524" s="325"/>
      <c r="K524" s="329"/>
      <c r="L524" s="325"/>
      <c r="M524" s="325"/>
    </row>
    <row r="525" spans="8:13" ht="15.75">
      <c r="H525" s="325"/>
      <c r="I525" s="325"/>
      <c r="J525" s="325"/>
      <c r="K525" s="329"/>
      <c r="L525" s="325"/>
      <c r="M525" s="325"/>
    </row>
    <row r="526" spans="8:13" ht="15.75">
      <c r="H526" s="325"/>
      <c r="I526" s="325"/>
      <c r="J526" s="325"/>
      <c r="K526" s="329"/>
      <c r="L526" s="325"/>
      <c r="M526" s="325"/>
    </row>
    <row r="527" spans="8:13" ht="15.75">
      <c r="H527" s="325"/>
      <c r="I527" s="325"/>
      <c r="J527" s="325"/>
      <c r="K527" s="329"/>
      <c r="L527" s="325"/>
      <c r="M527" s="325"/>
    </row>
    <row r="528" spans="8:13" ht="15.75">
      <c r="H528" s="325"/>
      <c r="I528" s="325"/>
      <c r="J528" s="325"/>
      <c r="K528" s="329"/>
      <c r="L528" s="325"/>
      <c r="M528" s="325"/>
    </row>
    <row r="529" spans="8:13" ht="15.75">
      <c r="H529" s="325"/>
      <c r="I529" s="325"/>
      <c r="J529" s="325"/>
      <c r="K529" s="329"/>
      <c r="L529" s="325"/>
      <c r="M529" s="325"/>
    </row>
    <row r="530" spans="8:13" ht="15.75">
      <c r="H530" s="325"/>
      <c r="I530" s="325"/>
      <c r="J530" s="325"/>
      <c r="K530" s="329"/>
      <c r="L530" s="325"/>
      <c r="M530" s="325"/>
    </row>
    <row r="531" spans="8:13" ht="15.75">
      <c r="H531" s="325"/>
      <c r="I531" s="325"/>
      <c r="J531" s="325"/>
      <c r="K531" s="329"/>
      <c r="L531" s="325"/>
      <c r="M531" s="325"/>
    </row>
    <row r="532" spans="8:13" ht="15.75">
      <c r="H532" s="325"/>
      <c r="I532" s="325"/>
      <c r="J532" s="325"/>
      <c r="K532" s="329"/>
      <c r="L532" s="325"/>
      <c r="M532" s="325"/>
    </row>
    <row r="533" spans="8:13" ht="15.75">
      <c r="H533" s="325"/>
      <c r="I533" s="325"/>
      <c r="J533" s="325"/>
      <c r="K533" s="329"/>
      <c r="L533" s="325"/>
      <c r="M533" s="325"/>
    </row>
    <row r="534" spans="8:13" ht="15.75">
      <c r="H534" s="325"/>
      <c r="I534" s="325"/>
      <c r="J534" s="325"/>
      <c r="K534" s="329"/>
      <c r="L534" s="325"/>
      <c r="M534" s="325"/>
    </row>
    <row r="535" spans="8:13" ht="15.75">
      <c r="H535" s="325"/>
      <c r="I535" s="325"/>
      <c r="J535" s="325"/>
      <c r="K535" s="329"/>
      <c r="L535" s="325"/>
      <c r="M535" s="325"/>
    </row>
    <row r="536" spans="8:13" ht="15.75">
      <c r="H536" s="325"/>
      <c r="I536" s="325"/>
      <c r="J536" s="325"/>
      <c r="K536" s="329"/>
      <c r="L536" s="325"/>
      <c r="M536" s="325"/>
    </row>
    <row r="537" spans="8:13" ht="15.75">
      <c r="H537" s="325"/>
      <c r="I537" s="325"/>
      <c r="J537" s="325"/>
      <c r="K537" s="329"/>
      <c r="L537" s="325"/>
      <c r="M537" s="325"/>
    </row>
    <row r="538" spans="8:13" ht="15.75">
      <c r="H538" s="325"/>
      <c r="I538" s="325"/>
      <c r="J538" s="325"/>
      <c r="K538" s="329"/>
      <c r="L538" s="325"/>
      <c r="M538" s="325"/>
    </row>
    <row r="539" spans="8:13" ht="15.75">
      <c r="H539" s="325"/>
      <c r="I539" s="325"/>
      <c r="J539" s="325"/>
      <c r="K539" s="329"/>
      <c r="L539" s="325"/>
      <c r="M539" s="325"/>
    </row>
    <row r="540" spans="8:13" ht="15.75">
      <c r="H540" s="325"/>
      <c r="I540" s="325"/>
      <c r="J540" s="325"/>
      <c r="K540" s="329"/>
      <c r="L540" s="325"/>
      <c r="M540" s="325"/>
    </row>
    <row r="541" spans="8:13" ht="15.75">
      <c r="H541" s="325"/>
      <c r="I541" s="325"/>
      <c r="J541" s="325"/>
      <c r="K541" s="329"/>
      <c r="L541" s="325"/>
      <c r="M541" s="325"/>
    </row>
    <row r="542" spans="8:13" ht="15.75">
      <c r="H542" s="325"/>
      <c r="I542" s="325"/>
      <c r="J542" s="325"/>
      <c r="K542" s="329"/>
      <c r="L542" s="325"/>
      <c r="M542" s="325"/>
    </row>
    <row r="543" spans="8:13" ht="15.75">
      <c r="H543" s="325"/>
      <c r="I543" s="325"/>
      <c r="J543" s="325"/>
      <c r="K543" s="329"/>
      <c r="L543" s="325"/>
      <c r="M543" s="325"/>
    </row>
    <row r="544" spans="8:13" ht="15.75">
      <c r="H544" s="325"/>
      <c r="I544" s="325"/>
      <c r="J544" s="325"/>
      <c r="K544" s="329"/>
      <c r="L544" s="325"/>
      <c r="M544" s="325"/>
    </row>
    <row r="545" spans="8:13" ht="15.75">
      <c r="H545" s="325"/>
      <c r="I545" s="325"/>
      <c r="J545" s="325"/>
      <c r="K545" s="329"/>
      <c r="L545" s="325"/>
      <c r="M545" s="325"/>
    </row>
    <row r="546" spans="8:13" ht="15.75">
      <c r="H546" s="325"/>
      <c r="I546" s="325"/>
      <c r="J546" s="325"/>
      <c r="K546" s="329"/>
      <c r="L546" s="325"/>
      <c r="M546" s="325"/>
    </row>
    <row r="547" spans="8:13" ht="15.75">
      <c r="H547" s="325"/>
      <c r="I547" s="325"/>
      <c r="J547" s="325"/>
      <c r="K547" s="329"/>
      <c r="L547" s="325"/>
      <c r="M547" s="325"/>
    </row>
    <row r="548" spans="8:13" ht="15.75">
      <c r="H548" s="325"/>
      <c r="I548" s="325"/>
      <c r="J548" s="325"/>
      <c r="K548" s="329"/>
      <c r="L548" s="325"/>
      <c r="M548" s="325"/>
    </row>
    <row r="549" spans="8:13" ht="15.75">
      <c r="H549" s="325"/>
      <c r="I549" s="325"/>
      <c r="J549" s="325"/>
      <c r="K549" s="329"/>
      <c r="L549" s="325"/>
      <c r="M549" s="325"/>
    </row>
    <row r="550" spans="8:13" ht="15.75">
      <c r="H550" s="325"/>
      <c r="I550" s="325"/>
      <c r="J550" s="325"/>
      <c r="K550" s="329"/>
      <c r="L550" s="325"/>
      <c r="M550" s="325"/>
    </row>
    <row r="551" spans="8:13" ht="15.75">
      <c r="H551" s="325"/>
      <c r="I551" s="325"/>
      <c r="J551" s="325"/>
      <c r="K551" s="329"/>
      <c r="L551" s="325"/>
      <c r="M551" s="325"/>
    </row>
    <row r="552" spans="8:13" ht="15.75">
      <c r="H552" s="325"/>
      <c r="I552" s="325"/>
      <c r="J552" s="325"/>
      <c r="K552" s="329"/>
      <c r="L552" s="325"/>
      <c r="M552" s="325"/>
    </row>
    <row r="553" spans="8:13" ht="15.75">
      <c r="H553" s="325"/>
      <c r="I553" s="325"/>
      <c r="J553" s="325"/>
      <c r="K553" s="329"/>
      <c r="L553" s="325"/>
      <c r="M553" s="325"/>
    </row>
    <row r="554" spans="8:13" ht="15.75">
      <c r="H554" s="325"/>
      <c r="I554" s="325"/>
      <c r="J554" s="325"/>
      <c r="K554" s="329"/>
      <c r="L554" s="325"/>
      <c r="M554" s="325"/>
    </row>
    <row r="555" spans="8:13" ht="15.75">
      <c r="H555" s="325"/>
      <c r="I555" s="325"/>
      <c r="J555" s="325"/>
      <c r="K555" s="329"/>
      <c r="L555" s="325"/>
      <c r="M555" s="325"/>
    </row>
    <row r="556" spans="8:13" ht="15.75">
      <c r="H556" s="325"/>
      <c r="I556" s="325"/>
      <c r="J556" s="325"/>
      <c r="K556" s="329"/>
      <c r="L556" s="325"/>
      <c r="M556" s="325"/>
    </row>
    <row r="557" spans="8:13" ht="15.75">
      <c r="H557" s="325"/>
      <c r="I557" s="325"/>
      <c r="J557" s="325"/>
      <c r="K557" s="329"/>
      <c r="L557" s="325"/>
      <c r="M557" s="325"/>
    </row>
    <row r="558" spans="8:13" ht="15.75">
      <c r="H558" s="325"/>
      <c r="I558" s="325"/>
      <c r="J558" s="325"/>
      <c r="K558" s="329"/>
      <c r="L558" s="325"/>
      <c r="M558" s="325"/>
    </row>
    <row r="559" spans="8:13" ht="15.75">
      <c r="H559" s="325"/>
      <c r="I559" s="325"/>
      <c r="J559" s="325"/>
      <c r="K559" s="329"/>
      <c r="L559" s="325"/>
      <c r="M559" s="325"/>
    </row>
    <row r="560" spans="8:13" ht="15.75">
      <c r="H560" s="325"/>
      <c r="I560" s="325"/>
      <c r="J560" s="325"/>
      <c r="K560" s="329"/>
      <c r="L560" s="325"/>
      <c r="M560" s="325"/>
    </row>
    <row r="561" spans="8:13" ht="15.75">
      <c r="H561" s="325"/>
      <c r="I561" s="325"/>
      <c r="J561" s="325"/>
      <c r="K561" s="329"/>
      <c r="L561" s="325"/>
      <c r="M561" s="325"/>
    </row>
    <row r="562" spans="8:13" ht="15.75">
      <c r="H562" s="325"/>
      <c r="I562" s="325"/>
      <c r="J562" s="325"/>
      <c r="K562" s="329"/>
      <c r="L562" s="325"/>
      <c r="M562" s="325"/>
    </row>
    <row r="563" spans="8:13" ht="15.75">
      <c r="H563" s="325"/>
      <c r="I563" s="325"/>
      <c r="J563" s="325"/>
      <c r="K563" s="329"/>
      <c r="L563" s="325"/>
      <c r="M563" s="325"/>
    </row>
    <row r="564" spans="8:13" ht="15.75">
      <c r="H564" s="325"/>
      <c r="I564" s="325"/>
      <c r="J564" s="325"/>
      <c r="K564" s="329"/>
      <c r="L564" s="325"/>
      <c r="M564" s="325"/>
    </row>
    <row r="565" spans="8:13" ht="15.75">
      <c r="H565" s="325"/>
      <c r="I565" s="325"/>
      <c r="J565" s="325"/>
      <c r="K565" s="329"/>
      <c r="L565" s="325"/>
      <c r="M565" s="325"/>
    </row>
    <row r="566" spans="8:13" ht="15.75">
      <c r="H566" s="325"/>
      <c r="I566" s="325"/>
      <c r="J566" s="325"/>
      <c r="K566" s="329"/>
      <c r="L566" s="325"/>
      <c r="M566" s="325"/>
    </row>
    <row r="567" spans="8:13" ht="15.75">
      <c r="H567" s="325"/>
      <c r="I567" s="325"/>
      <c r="J567" s="325"/>
      <c r="K567" s="329"/>
      <c r="L567" s="325"/>
      <c r="M567" s="325"/>
    </row>
    <row r="568" spans="8:13" ht="15.75">
      <c r="H568" s="325"/>
      <c r="I568" s="325"/>
      <c r="J568" s="325"/>
      <c r="K568" s="329"/>
      <c r="L568" s="325"/>
      <c r="M568" s="325"/>
    </row>
    <row r="569" spans="8:13" ht="15.75">
      <c r="H569" s="325"/>
      <c r="I569" s="325"/>
      <c r="J569" s="325"/>
      <c r="K569" s="329"/>
      <c r="L569" s="325"/>
      <c r="M569" s="325"/>
    </row>
    <row r="570" spans="8:13" ht="15.75">
      <c r="H570" s="325"/>
      <c r="I570" s="325"/>
      <c r="J570" s="325"/>
      <c r="K570" s="329"/>
      <c r="L570" s="325"/>
      <c r="M570" s="325"/>
    </row>
    <row r="571" spans="8:13" ht="15.75">
      <c r="H571" s="325"/>
      <c r="I571" s="325"/>
      <c r="J571" s="325"/>
      <c r="K571" s="329"/>
      <c r="L571" s="325"/>
      <c r="M571" s="325"/>
    </row>
    <row r="572" spans="8:13" ht="15.75">
      <c r="H572" s="325"/>
      <c r="I572" s="325"/>
      <c r="J572" s="325"/>
      <c r="K572" s="329"/>
      <c r="L572" s="325"/>
      <c r="M572" s="325"/>
    </row>
    <row r="573" spans="8:13" ht="15.75">
      <c r="H573" s="325"/>
      <c r="I573" s="325"/>
      <c r="J573" s="325"/>
      <c r="K573" s="329"/>
      <c r="L573" s="325"/>
      <c r="M573" s="325"/>
    </row>
    <row r="574" spans="8:13" ht="15.75">
      <c r="H574" s="325"/>
      <c r="I574" s="325"/>
      <c r="J574" s="325"/>
      <c r="K574" s="329"/>
      <c r="L574" s="325"/>
      <c r="M574" s="325"/>
    </row>
    <row r="575" spans="8:13" ht="15.75">
      <c r="H575" s="325"/>
      <c r="I575" s="325"/>
      <c r="J575" s="325"/>
      <c r="K575" s="329"/>
      <c r="L575" s="325"/>
      <c r="M575" s="325"/>
    </row>
    <row r="576" spans="8:13" ht="15.75">
      <c r="H576" s="325"/>
      <c r="I576" s="325"/>
      <c r="J576" s="325"/>
      <c r="K576" s="329"/>
      <c r="L576" s="325"/>
      <c r="M576" s="325"/>
    </row>
    <row r="577" spans="8:13" ht="15.75">
      <c r="H577" s="325"/>
      <c r="I577" s="325"/>
      <c r="J577" s="325"/>
      <c r="K577" s="329"/>
      <c r="L577" s="325"/>
      <c r="M577" s="325"/>
    </row>
    <row r="578" spans="8:13" ht="15.75">
      <c r="H578" s="325"/>
      <c r="I578" s="325"/>
      <c r="J578" s="325"/>
      <c r="K578" s="329"/>
      <c r="L578" s="325"/>
      <c r="M578" s="325"/>
    </row>
    <row r="579" spans="8:13" ht="15.75">
      <c r="H579" s="325"/>
      <c r="I579" s="325"/>
      <c r="J579" s="325"/>
      <c r="K579" s="329"/>
      <c r="L579" s="325"/>
      <c r="M579" s="325"/>
    </row>
    <row r="580" spans="8:13" ht="15.75">
      <c r="H580" s="325"/>
      <c r="I580" s="325"/>
      <c r="J580" s="325"/>
      <c r="K580" s="329"/>
      <c r="L580" s="325"/>
      <c r="M580" s="325"/>
    </row>
    <row r="581" spans="8:13" ht="15.75">
      <c r="H581" s="325"/>
      <c r="I581" s="325"/>
      <c r="J581" s="325"/>
      <c r="K581" s="329"/>
      <c r="L581" s="325"/>
      <c r="M581" s="325"/>
    </row>
    <row r="582" spans="8:13" ht="15.75">
      <c r="H582" s="325"/>
      <c r="I582" s="325"/>
      <c r="J582" s="325"/>
      <c r="K582" s="329"/>
      <c r="L582" s="325"/>
      <c r="M582" s="325"/>
    </row>
    <row r="583" spans="8:13" ht="15.75">
      <c r="H583" s="325"/>
      <c r="I583" s="325"/>
      <c r="J583" s="325"/>
      <c r="K583" s="329"/>
      <c r="L583" s="325"/>
      <c r="M583" s="325"/>
    </row>
    <row r="584" spans="8:13" ht="15.75">
      <c r="H584" s="325"/>
      <c r="I584" s="325"/>
      <c r="J584" s="325"/>
      <c r="K584" s="329"/>
      <c r="L584" s="325"/>
      <c r="M584" s="325"/>
    </row>
    <row r="585" spans="8:13" ht="15.75">
      <c r="H585" s="325"/>
      <c r="I585" s="325"/>
      <c r="J585" s="325"/>
      <c r="K585" s="329"/>
      <c r="L585" s="325"/>
      <c r="M585" s="325"/>
    </row>
    <row r="586" spans="8:13" ht="15.75">
      <c r="H586" s="325"/>
      <c r="I586" s="325"/>
      <c r="J586" s="325"/>
      <c r="K586" s="329"/>
      <c r="L586" s="325"/>
      <c r="M586" s="325"/>
    </row>
    <row r="587" spans="8:13" ht="15.75">
      <c r="H587" s="325"/>
      <c r="I587" s="325"/>
      <c r="J587" s="325"/>
      <c r="K587" s="329"/>
      <c r="L587" s="325"/>
      <c r="M587" s="325"/>
    </row>
    <row r="588" spans="8:13" ht="15.75">
      <c r="H588" s="325"/>
      <c r="I588" s="325"/>
      <c r="J588" s="325"/>
      <c r="K588" s="329"/>
      <c r="L588" s="325"/>
      <c r="M588" s="325"/>
    </row>
    <row r="589" spans="8:13" ht="15.75">
      <c r="H589" s="325"/>
      <c r="I589" s="325"/>
      <c r="J589" s="325"/>
      <c r="K589" s="329"/>
      <c r="L589" s="325"/>
      <c r="M589" s="325"/>
    </row>
    <row r="590" spans="8:13" ht="15.75">
      <c r="H590" s="325"/>
      <c r="I590" s="325"/>
      <c r="J590" s="325"/>
      <c r="K590" s="329"/>
      <c r="L590" s="325"/>
      <c r="M590" s="325"/>
    </row>
    <row r="591" spans="8:13" ht="15.75">
      <c r="H591" s="325"/>
      <c r="I591" s="325"/>
      <c r="J591" s="325"/>
      <c r="K591" s="329"/>
      <c r="L591" s="325"/>
      <c r="M591" s="325"/>
    </row>
    <row r="592" spans="8:13" ht="15.75">
      <c r="H592" s="325"/>
      <c r="I592" s="325"/>
      <c r="J592" s="325"/>
      <c r="K592" s="329"/>
      <c r="L592" s="325"/>
      <c r="M592" s="325"/>
    </row>
    <row r="593" spans="8:13" ht="15.75">
      <c r="H593" s="325"/>
      <c r="I593" s="325"/>
      <c r="J593" s="325"/>
      <c r="K593" s="329"/>
      <c r="L593" s="325"/>
      <c r="M593" s="325"/>
    </row>
    <row r="594" spans="8:13" ht="15.75">
      <c r="H594" s="325"/>
      <c r="I594" s="325"/>
      <c r="J594" s="325"/>
      <c r="K594" s="329"/>
      <c r="L594" s="325"/>
      <c r="M594" s="325"/>
    </row>
    <row r="595" spans="8:13" ht="15.75">
      <c r="H595" s="325"/>
      <c r="I595" s="325"/>
      <c r="J595" s="325"/>
      <c r="K595" s="329"/>
      <c r="L595" s="325"/>
      <c r="M595" s="325"/>
    </row>
    <row r="596" spans="8:13" ht="15.75">
      <c r="H596" s="325"/>
      <c r="I596" s="325"/>
      <c r="J596" s="325"/>
      <c r="K596" s="329"/>
      <c r="L596" s="325"/>
      <c r="M596" s="325"/>
    </row>
    <row r="597" spans="8:13" ht="15.75">
      <c r="H597" s="325"/>
      <c r="I597" s="325"/>
      <c r="J597" s="325"/>
      <c r="K597" s="329"/>
      <c r="L597" s="325"/>
      <c r="M597" s="325"/>
    </row>
    <row r="598" spans="8:13" ht="15.75">
      <c r="H598" s="325"/>
      <c r="I598" s="325"/>
      <c r="J598" s="325"/>
      <c r="K598" s="329"/>
      <c r="L598" s="325"/>
      <c r="M598" s="325"/>
    </row>
    <row r="599" spans="8:13" ht="15.75">
      <c r="H599" s="325"/>
      <c r="I599" s="325"/>
      <c r="J599" s="325"/>
      <c r="K599" s="329"/>
      <c r="L599" s="325"/>
      <c r="M599" s="325"/>
    </row>
    <row r="600" spans="8:13" ht="15.75">
      <c r="H600" s="325"/>
      <c r="I600" s="325"/>
      <c r="J600" s="325"/>
      <c r="K600" s="329"/>
      <c r="L600" s="325"/>
      <c r="M600" s="325"/>
    </row>
    <row r="601" spans="8:13" ht="15.75">
      <c r="H601" s="325"/>
      <c r="I601" s="325"/>
      <c r="J601" s="325"/>
      <c r="K601" s="329"/>
      <c r="L601" s="325"/>
      <c r="M601" s="325"/>
    </row>
    <row r="602" spans="8:13" ht="15.75">
      <c r="H602" s="325"/>
      <c r="I602" s="325"/>
      <c r="J602" s="325"/>
      <c r="K602" s="329"/>
      <c r="L602" s="325"/>
      <c r="M602" s="325"/>
    </row>
    <row r="603" spans="8:13" ht="15.75">
      <c r="H603" s="325"/>
      <c r="I603" s="325"/>
      <c r="J603" s="325"/>
      <c r="K603" s="329"/>
      <c r="L603" s="325"/>
      <c r="M603" s="325"/>
    </row>
    <row r="604" spans="8:13" ht="15.75">
      <c r="H604" s="325"/>
      <c r="I604" s="325"/>
      <c r="J604" s="325"/>
      <c r="K604" s="329"/>
      <c r="L604" s="325"/>
      <c r="M604" s="325"/>
    </row>
    <row r="605" spans="8:13" ht="15.75">
      <c r="H605" s="325"/>
      <c r="I605" s="325"/>
      <c r="J605" s="325"/>
      <c r="K605" s="329"/>
      <c r="L605" s="325"/>
      <c r="M605" s="325"/>
    </row>
    <row r="606" spans="8:13" ht="15.75">
      <c r="H606" s="325"/>
      <c r="I606" s="325"/>
      <c r="J606" s="325"/>
      <c r="K606" s="329"/>
      <c r="L606" s="325"/>
      <c r="M606" s="325"/>
    </row>
    <row r="607" spans="8:13" ht="15.75">
      <c r="H607" s="325"/>
      <c r="I607" s="325"/>
      <c r="J607" s="325"/>
      <c r="K607" s="329"/>
      <c r="L607" s="325"/>
      <c r="M607" s="325"/>
    </row>
    <row r="608" spans="8:13" ht="15.75">
      <c r="H608" s="325"/>
      <c r="I608" s="325"/>
      <c r="J608" s="325"/>
      <c r="K608" s="329"/>
      <c r="L608" s="325"/>
      <c r="M608" s="325"/>
    </row>
    <row r="609" spans="8:13" ht="15.75">
      <c r="H609" s="325"/>
      <c r="I609" s="325"/>
      <c r="J609" s="325"/>
      <c r="K609" s="329"/>
      <c r="L609" s="325"/>
      <c r="M609" s="325"/>
    </row>
    <row r="610" spans="8:13" ht="15.75">
      <c r="H610" s="325"/>
      <c r="I610" s="325"/>
      <c r="J610" s="325"/>
      <c r="K610" s="329"/>
      <c r="L610" s="325"/>
      <c r="M610" s="325"/>
    </row>
    <row r="611" spans="8:13" ht="15.75">
      <c r="H611" s="325"/>
      <c r="I611" s="325"/>
      <c r="J611" s="325"/>
      <c r="K611" s="329"/>
      <c r="L611" s="325"/>
      <c r="M611" s="325"/>
    </row>
    <row r="612" spans="8:13" ht="15.75">
      <c r="H612" s="325"/>
      <c r="I612" s="325"/>
      <c r="J612" s="325"/>
      <c r="K612" s="329"/>
      <c r="L612" s="325"/>
      <c r="M612" s="325"/>
    </row>
    <row r="613" spans="8:13" ht="15.75">
      <c r="H613" s="325"/>
      <c r="I613" s="325"/>
      <c r="J613" s="325"/>
      <c r="K613" s="329"/>
      <c r="L613" s="325"/>
      <c r="M613" s="325"/>
    </row>
    <row r="614" spans="8:13" ht="15.75">
      <c r="H614" s="325"/>
      <c r="I614" s="325"/>
      <c r="J614" s="325"/>
      <c r="K614" s="329"/>
      <c r="L614" s="325"/>
      <c r="M614" s="325"/>
    </row>
    <row r="615" spans="8:13" ht="15.75">
      <c r="H615" s="325"/>
      <c r="I615" s="325"/>
      <c r="J615" s="325"/>
      <c r="K615" s="329"/>
      <c r="L615" s="325"/>
      <c r="M615" s="325"/>
    </row>
    <row r="616" spans="8:13" ht="15.75">
      <c r="H616" s="325"/>
      <c r="I616" s="325"/>
      <c r="J616" s="325"/>
      <c r="K616" s="329"/>
      <c r="L616" s="325"/>
      <c r="M616" s="325"/>
    </row>
    <row r="617" spans="8:13" ht="15.75">
      <c r="H617" s="325"/>
      <c r="I617" s="325"/>
      <c r="J617" s="325"/>
      <c r="K617" s="329"/>
      <c r="L617" s="325"/>
      <c r="M617" s="325"/>
    </row>
    <row r="618" spans="8:13" ht="15.75">
      <c r="H618" s="325"/>
      <c r="I618" s="325"/>
      <c r="J618" s="325"/>
      <c r="K618" s="329"/>
      <c r="L618" s="325"/>
      <c r="M618" s="325"/>
    </row>
    <row r="619" spans="8:13" ht="15.75">
      <c r="H619" s="325"/>
      <c r="I619" s="325"/>
      <c r="J619" s="325"/>
      <c r="K619" s="329"/>
      <c r="L619" s="325"/>
      <c r="M619" s="325"/>
    </row>
    <row r="620" spans="8:13" ht="15.75">
      <c r="H620" s="325"/>
      <c r="I620" s="325"/>
      <c r="J620" s="325"/>
      <c r="K620" s="329"/>
      <c r="L620" s="325"/>
      <c r="M620" s="325"/>
    </row>
    <row r="621" spans="8:13" ht="15.75">
      <c r="H621" s="325"/>
      <c r="I621" s="325"/>
      <c r="J621" s="325"/>
      <c r="K621" s="329"/>
      <c r="L621" s="325"/>
      <c r="M621" s="325"/>
    </row>
    <row r="622" spans="8:13" ht="15.75">
      <c r="H622" s="325"/>
      <c r="I622" s="325"/>
      <c r="J622" s="325"/>
      <c r="K622" s="329"/>
      <c r="L622" s="325"/>
      <c r="M622" s="325"/>
    </row>
    <row r="623" spans="8:13" ht="15.75">
      <c r="H623" s="325"/>
      <c r="I623" s="325"/>
      <c r="J623" s="325"/>
      <c r="K623" s="329"/>
      <c r="L623" s="325"/>
      <c r="M623" s="325"/>
    </row>
    <row r="624" spans="8:13" ht="15.75">
      <c r="H624" s="325"/>
      <c r="I624" s="325"/>
      <c r="J624" s="325"/>
      <c r="K624" s="329"/>
      <c r="L624" s="325"/>
      <c r="M624" s="325"/>
    </row>
    <row r="625" spans="8:13" ht="15.75">
      <c r="H625" s="325"/>
      <c r="I625" s="325"/>
      <c r="J625" s="325"/>
      <c r="K625" s="329"/>
      <c r="L625" s="325"/>
      <c r="M625" s="325"/>
    </row>
    <row r="626" spans="8:13" ht="15.75">
      <c r="H626" s="325"/>
      <c r="I626" s="325"/>
      <c r="J626" s="325"/>
      <c r="K626" s="329"/>
      <c r="L626" s="325"/>
      <c r="M626" s="325"/>
    </row>
    <row r="627" spans="8:13" ht="15.75">
      <c r="H627" s="325"/>
      <c r="I627" s="325"/>
      <c r="J627" s="325"/>
      <c r="K627" s="329"/>
      <c r="L627" s="325"/>
      <c r="M627" s="325"/>
    </row>
    <row r="628" spans="8:13" ht="15.75">
      <c r="H628" s="325"/>
      <c r="I628" s="325"/>
      <c r="J628" s="325"/>
      <c r="K628" s="329"/>
      <c r="L628" s="325"/>
      <c r="M628" s="325"/>
    </row>
    <row r="629" spans="8:13" ht="15.75">
      <c r="H629" s="325"/>
      <c r="I629" s="325"/>
      <c r="J629" s="325"/>
      <c r="K629" s="329"/>
      <c r="L629" s="325"/>
      <c r="M629" s="325"/>
    </row>
    <row r="630" spans="8:13" ht="15.75">
      <c r="H630" s="325"/>
      <c r="I630" s="325"/>
      <c r="J630" s="325"/>
      <c r="K630" s="329"/>
      <c r="L630" s="325"/>
      <c r="M630" s="325"/>
    </row>
    <row r="631" spans="8:13" ht="15.75">
      <c r="H631" s="325"/>
      <c r="I631" s="325"/>
      <c r="J631" s="325"/>
      <c r="K631" s="329"/>
      <c r="L631" s="325"/>
      <c r="M631" s="325"/>
    </row>
    <row r="632" spans="8:13" ht="15.75">
      <c r="H632" s="325"/>
      <c r="I632" s="325"/>
      <c r="J632" s="325"/>
      <c r="K632" s="329"/>
      <c r="L632" s="325"/>
      <c r="M632" s="325"/>
    </row>
    <row r="633" spans="8:13" ht="15.75">
      <c r="H633" s="325"/>
      <c r="I633" s="325"/>
      <c r="J633" s="325"/>
      <c r="K633" s="329"/>
      <c r="L633" s="325"/>
      <c r="M633" s="325"/>
    </row>
    <row r="634" spans="8:13" ht="15.75">
      <c r="H634" s="325"/>
      <c r="I634" s="325"/>
      <c r="J634" s="325"/>
      <c r="K634" s="329"/>
      <c r="L634" s="325"/>
      <c r="M634" s="325"/>
    </row>
    <row r="635" spans="8:13" ht="15.75">
      <c r="H635" s="325"/>
      <c r="I635" s="325"/>
      <c r="J635" s="325"/>
      <c r="K635" s="329"/>
      <c r="L635" s="325"/>
      <c r="M635" s="325"/>
    </row>
    <row r="636" spans="8:13" ht="15.75">
      <c r="H636" s="325"/>
      <c r="I636" s="325"/>
      <c r="J636" s="325"/>
      <c r="K636" s="329"/>
      <c r="L636" s="325"/>
      <c r="M636" s="325"/>
    </row>
    <row r="637" spans="8:13" ht="15.75">
      <c r="H637" s="325"/>
      <c r="I637" s="325"/>
      <c r="J637" s="325"/>
      <c r="K637" s="329"/>
      <c r="L637" s="325"/>
      <c r="M637" s="325"/>
    </row>
    <row r="638" spans="8:13" ht="15.75">
      <c r="H638" s="325"/>
      <c r="I638" s="325"/>
      <c r="J638" s="325"/>
      <c r="K638" s="329"/>
      <c r="L638" s="325"/>
      <c r="M638" s="325"/>
    </row>
    <row r="639" spans="8:13" ht="15.75">
      <c r="H639" s="325"/>
      <c r="I639" s="325"/>
      <c r="J639" s="325"/>
      <c r="K639" s="329"/>
      <c r="L639" s="325"/>
      <c r="M639" s="325"/>
    </row>
    <row r="640" spans="8:13" ht="15.75">
      <c r="H640" s="325"/>
      <c r="I640" s="325"/>
      <c r="J640" s="325"/>
      <c r="K640" s="329"/>
      <c r="L640" s="325"/>
      <c r="M640" s="325"/>
    </row>
    <row r="641" spans="8:13" ht="15.75">
      <c r="H641" s="325"/>
      <c r="I641" s="325"/>
      <c r="J641" s="325"/>
      <c r="K641" s="329"/>
      <c r="L641" s="325"/>
      <c r="M641" s="325"/>
    </row>
    <row r="642" spans="8:13" ht="15.75">
      <c r="H642" s="325"/>
      <c r="I642" s="325"/>
      <c r="J642" s="325"/>
      <c r="K642" s="329"/>
      <c r="L642" s="325"/>
      <c r="M642" s="325"/>
    </row>
    <row r="643" spans="8:13" ht="15.75">
      <c r="H643" s="325"/>
      <c r="I643" s="325"/>
      <c r="J643" s="325"/>
      <c r="K643" s="329"/>
      <c r="L643" s="325"/>
      <c r="M643" s="325"/>
    </row>
    <row r="644" spans="8:13" ht="15.75">
      <c r="H644" s="325"/>
      <c r="I644" s="325"/>
      <c r="J644" s="325"/>
      <c r="K644" s="329"/>
      <c r="L644" s="325"/>
      <c r="M644" s="325"/>
    </row>
    <row r="645" spans="8:13" ht="15.75">
      <c r="H645" s="325"/>
      <c r="I645" s="325"/>
      <c r="J645" s="325"/>
      <c r="K645" s="329"/>
      <c r="L645" s="325"/>
      <c r="M645" s="325"/>
    </row>
    <row r="646" spans="8:13" ht="15.75">
      <c r="H646" s="325"/>
      <c r="I646" s="325"/>
      <c r="J646" s="325"/>
      <c r="K646" s="329"/>
      <c r="L646" s="325"/>
      <c r="M646" s="325"/>
    </row>
    <row r="647" spans="8:13" ht="15.75">
      <c r="H647" s="325"/>
      <c r="I647" s="325"/>
      <c r="J647" s="325"/>
      <c r="K647" s="329"/>
      <c r="L647" s="325"/>
      <c r="M647" s="325"/>
    </row>
    <row r="648" spans="8:13" ht="15.75">
      <c r="H648" s="325"/>
      <c r="I648" s="325"/>
      <c r="J648" s="325"/>
      <c r="K648" s="329"/>
      <c r="L648" s="325"/>
      <c r="M648" s="325"/>
    </row>
    <row r="649" spans="8:13" ht="15.75">
      <c r="H649" s="325"/>
      <c r="I649" s="325"/>
      <c r="J649" s="325"/>
      <c r="K649" s="329"/>
      <c r="L649" s="325"/>
      <c r="M649" s="325"/>
    </row>
    <row r="650" spans="8:13" ht="15.75">
      <c r="H650" s="325"/>
      <c r="I650" s="325"/>
      <c r="J650" s="325"/>
      <c r="K650" s="329"/>
      <c r="L650" s="325"/>
      <c r="M650" s="325"/>
    </row>
    <row r="651" spans="8:13" ht="15.75">
      <c r="H651" s="325"/>
      <c r="I651" s="325"/>
      <c r="J651" s="325"/>
      <c r="K651" s="329"/>
      <c r="L651" s="325"/>
      <c r="M651" s="325"/>
    </row>
    <row r="652" spans="8:13" ht="15.75">
      <c r="H652" s="325"/>
      <c r="I652" s="325"/>
      <c r="J652" s="325"/>
      <c r="K652" s="329"/>
      <c r="L652" s="325"/>
      <c r="M652" s="325"/>
    </row>
    <row r="653" spans="8:13" ht="15.75">
      <c r="H653" s="325"/>
      <c r="I653" s="325"/>
      <c r="J653" s="325"/>
      <c r="K653" s="329"/>
      <c r="L653" s="325"/>
      <c r="M653" s="325"/>
    </row>
    <row r="654" spans="8:13" ht="15.75">
      <c r="H654" s="325"/>
      <c r="I654" s="325"/>
      <c r="J654" s="325"/>
      <c r="K654" s="329"/>
      <c r="L654" s="325"/>
      <c r="M654" s="325"/>
    </row>
    <row r="655" spans="8:13" ht="15.75">
      <c r="H655" s="325"/>
      <c r="I655" s="325"/>
      <c r="J655" s="325"/>
      <c r="K655" s="329"/>
      <c r="L655" s="325"/>
      <c r="M655" s="325"/>
    </row>
    <row r="656" spans="8:13" ht="15.75">
      <c r="H656" s="325"/>
      <c r="I656" s="325"/>
      <c r="J656" s="325"/>
      <c r="K656" s="329"/>
      <c r="L656" s="325"/>
      <c r="M656" s="325"/>
    </row>
    <row r="657" spans="8:13" ht="15.75">
      <c r="H657" s="325"/>
      <c r="I657" s="325"/>
      <c r="J657" s="325"/>
      <c r="K657" s="329"/>
      <c r="L657" s="325"/>
      <c r="M657" s="325"/>
    </row>
    <row r="658" spans="8:13" ht="15.75">
      <c r="H658" s="325"/>
      <c r="I658" s="325"/>
      <c r="J658" s="325"/>
      <c r="K658" s="329"/>
      <c r="L658" s="325"/>
      <c r="M658" s="325"/>
    </row>
    <row r="659" spans="8:13" ht="15.75">
      <c r="H659" s="325"/>
      <c r="I659" s="325"/>
      <c r="J659" s="325"/>
      <c r="K659" s="329"/>
      <c r="L659" s="325"/>
      <c r="M659" s="325"/>
    </row>
    <row r="660" spans="8:13" ht="15.75">
      <c r="H660" s="325"/>
      <c r="I660" s="325"/>
      <c r="J660" s="325"/>
      <c r="K660" s="329"/>
      <c r="L660" s="325"/>
      <c r="M660" s="325"/>
    </row>
    <row r="661" spans="8:13" ht="15.75">
      <c r="H661" s="325"/>
      <c r="I661" s="325"/>
      <c r="J661" s="325"/>
      <c r="K661" s="329"/>
      <c r="L661" s="325"/>
      <c r="M661" s="325"/>
    </row>
    <row r="662" spans="8:13" ht="15.75">
      <c r="H662" s="325"/>
      <c r="I662" s="325"/>
      <c r="J662" s="325"/>
      <c r="K662" s="329"/>
      <c r="L662" s="325"/>
      <c r="M662" s="325"/>
    </row>
    <row r="663" spans="8:13" ht="15.75">
      <c r="H663" s="325"/>
      <c r="I663" s="325"/>
      <c r="J663" s="325"/>
      <c r="K663" s="329"/>
      <c r="L663" s="325"/>
      <c r="M663" s="325"/>
    </row>
    <row r="664" spans="8:13" ht="15.75">
      <c r="H664" s="325"/>
      <c r="I664" s="325"/>
      <c r="J664" s="325"/>
      <c r="K664" s="329"/>
      <c r="L664" s="325"/>
      <c r="M664" s="325"/>
    </row>
    <row r="665" spans="8:13" ht="15.75">
      <c r="H665" s="325"/>
      <c r="I665" s="325"/>
      <c r="J665" s="325"/>
      <c r="K665" s="329"/>
      <c r="L665" s="325"/>
      <c r="M665" s="325"/>
    </row>
    <row r="666" spans="8:13" ht="15.75">
      <c r="H666" s="325"/>
      <c r="I666" s="325"/>
      <c r="J666" s="325"/>
      <c r="K666" s="329"/>
      <c r="L666" s="325"/>
      <c r="M666" s="325"/>
    </row>
    <row r="667" spans="8:13" ht="15.75">
      <c r="H667" s="325"/>
      <c r="I667" s="325"/>
      <c r="J667" s="325"/>
      <c r="K667" s="329"/>
      <c r="L667" s="325"/>
      <c r="M667" s="325"/>
    </row>
    <row r="668" spans="8:13" ht="15.75">
      <c r="H668" s="325"/>
      <c r="I668" s="325"/>
      <c r="J668" s="325"/>
      <c r="K668" s="329"/>
      <c r="L668" s="325"/>
      <c r="M668" s="325"/>
    </row>
    <row r="669" spans="8:13" ht="15.75">
      <c r="H669" s="325"/>
      <c r="I669" s="325"/>
      <c r="J669" s="325"/>
      <c r="K669" s="329"/>
      <c r="L669" s="325"/>
      <c r="M669" s="325"/>
    </row>
    <row r="670" spans="8:13" ht="15.75">
      <c r="H670" s="325"/>
      <c r="I670" s="325"/>
      <c r="J670" s="325"/>
      <c r="K670" s="329"/>
      <c r="L670" s="325"/>
      <c r="M670" s="325"/>
    </row>
    <row r="671" spans="8:13" ht="15.75">
      <c r="H671" s="325"/>
      <c r="I671" s="325"/>
      <c r="J671" s="325"/>
      <c r="K671" s="329"/>
      <c r="L671" s="325"/>
      <c r="M671" s="325"/>
    </row>
    <row r="672" spans="8:13" ht="15.75">
      <c r="H672" s="325"/>
      <c r="I672" s="325"/>
      <c r="J672" s="325"/>
      <c r="K672" s="329"/>
      <c r="L672" s="325"/>
      <c r="M672" s="325"/>
    </row>
    <row r="673" spans="8:13" ht="15.75">
      <c r="H673" s="325"/>
      <c r="I673" s="325"/>
      <c r="J673" s="325"/>
      <c r="K673" s="329"/>
      <c r="L673" s="325"/>
      <c r="M673" s="325"/>
    </row>
    <row r="674" spans="8:13" ht="15.75">
      <c r="H674" s="325"/>
      <c r="I674" s="325"/>
      <c r="J674" s="325"/>
      <c r="K674" s="329"/>
      <c r="L674" s="325"/>
      <c r="M674" s="325"/>
    </row>
    <row r="675" spans="8:13" ht="15.75">
      <c r="H675" s="325"/>
      <c r="I675" s="325"/>
      <c r="J675" s="325"/>
      <c r="K675" s="329"/>
      <c r="L675" s="325"/>
      <c r="M675" s="325"/>
    </row>
    <row r="676" spans="8:13" ht="15.75">
      <c r="H676" s="325"/>
      <c r="I676" s="325"/>
      <c r="J676" s="325"/>
      <c r="K676" s="329"/>
      <c r="L676" s="325"/>
      <c r="M676" s="325"/>
    </row>
    <row r="677" spans="8:13" ht="15.75">
      <c r="H677" s="325"/>
      <c r="I677" s="325"/>
      <c r="J677" s="325"/>
      <c r="K677" s="329"/>
      <c r="L677" s="325"/>
      <c r="M677" s="325"/>
    </row>
    <row r="678" spans="8:13" ht="15.75">
      <c r="H678" s="325"/>
      <c r="I678" s="325"/>
      <c r="J678" s="325"/>
      <c r="K678" s="329"/>
      <c r="L678" s="325"/>
      <c r="M678" s="325"/>
    </row>
    <row r="679" spans="8:13" ht="15.75">
      <c r="H679" s="325"/>
      <c r="I679" s="325"/>
      <c r="J679" s="325"/>
      <c r="K679" s="329"/>
      <c r="L679" s="325"/>
      <c r="M679" s="325"/>
    </row>
    <row r="680" spans="8:13" ht="15.75">
      <c r="H680" s="325"/>
      <c r="I680" s="325"/>
      <c r="J680" s="325"/>
      <c r="K680" s="329"/>
      <c r="L680" s="325"/>
      <c r="M680" s="325"/>
    </row>
    <row r="681" spans="8:13" ht="15.75">
      <c r="H681" s="325"/>
      <c r="I681" s="325"/>
      <c r="J681" s="325"/>
      <c r="K681" s="329"/>
      <c r="L681" s="325"/>
      <c r="M681" s="325"/>
    </row>
    <row r="682" spans="8:13" ht="15.75">
      <c r="H682" s="325"/>
      <c r="I682" s="325"/>
      <c r="J682" s="325"/>
      <c r="K682" s="329"/>
      <c r="L682" s="325"/>
      <c r="M682" s="325"/>
    </row>
    <row r="683" spans="8:13" ht="15.75">
      <c r="H683" s="325"/>
      <c r="I683" s="325"/>
      <c r="J683" s="325"/>
      <c r="K683" s="329"/>
      <c r="L683" s="325"/>
      <c r="M683" s="325"/>
    </row>
    <row r="684" spans="8:13" ht="15.75">
      <c r="H684" s="325"/>
      <c r="I684" s="325"/>
      <c r="J684" s="325"/>
      <c r="K684" s="329"/>
      <c r="L684" s="325"/>
      <c r="M684" s="325"/>
    </row>
    <row r="685" spans="8:13" ht="15.75">
      <c r="H685" s="325"/>
      <c r="I685" s="325"/>
      <c r="J685" s="325"/>
      <c r="K685" s="329"/>
      <c r="L685" s="325"/>
      <c r="M685" s="325"/>
    </row>
    <row r="686" spans="8:13" ht="15.75">
      <c r="H686" s="325"/>
      <c r="I686" s="325"/>
      <c r="J686" s="325"/>
      <c r="K686" s="329"/>
      <c r="L686" s="325"/>
      <c r="M686" s="325"/>
    </row>
    <row r="687" spans="8:13" ht="15.75">
      <c r="H687" s="325"/>
      <c r="I687" s="325"/>
      <c r="J687" s="325"/>
      <c r="K687" s="329"/>
      <c r="L687" s="325"/>
      <c r="M687" s="325"/>
    </row>
    <row r="688" spans="8:13" ht="15.75">
      <c r="H688" s="325"/>
      <c r="I688" s="325"/>
      <c r="J688" s="325"/>
      <c r="K688" s="329"/>
      <c r="L688" s="325"/>
      <c r="M688" s="325"/>
    </row>
    <row r="689" spans="8:13" ht="15.75">
      <c r="H689" s="325"/>
      <c r="I689" s="325"/>
      <c r="J689" s="325"/>
      <c r="K689" s="329"/>
      <c r="L689" s="325"/>
      <c r="M689" s="325"/>
    </row>
    <row r="690" spans="8:13" ht="15.75">
      <c r="H690" s="325"/>
      <c r="I690" s="325"/>
      <c r="J690" s="325"/>
      <c r="K690" s="329"/>
      <c r="L690" s="325"/>
      <c r="M690" s="325"/>
    </row>
    <row r="691" spans="8:13" ht="15.75">
      <c r="H691" s="325"/>
      <c r="I691" s="325"/>
      <c r="J691" s="325"/>
      <c r="K691" s="329"/>
      <c r="L691" s="325"/>
      <c r="M691" s="325"/>
    </row>
    <row r="692" spans="8:13" ht="15.75">
      <c r="H692" s="325"/>
      <c r="I692" s="325"/>
      <c r="J692" s="325"/>
      <c r="K692" s="329"/>
      <c r="L692" s="325"/>
      <c r="M692" s="325"/>
    </row>
    <row r="693" spans="8:13" ht="15.75">
      <c r="H693" s="325"/>
      <c r="I693" s="325"/>
      <c r="J693" s="325"/>
      <c r="K693" s="329"/>
      <c r="L693" s="325"/>
      <c r="M693" s="325"/>
    </row>
    <row r="694" spans="8:13" ht="15.75">
      <c r="H694" s="325"/>
      <c r="I694" s="325"/>
      <c r="J694" s="325"/>
      <c r="K694" s="329"/>
      <c r="L694" s="325"/>
      <c r="M694" s="325"/>
    </row>
    <row r="695" spans="8:13" ht="15.75">
      <c r="H695" s="325"/>
      <c r="I695" s="325"/>
      <c r="J695" s="325"/>
      <c r="K695" s="329"/>
      <c r="L695" s="325"/>
      <c r="M695" s="325"/>
    </row>
    <row r="696" spans="8:13" ht="15.75">
      <c r="H696" s="325"/>
      <c r="I696" s="325"/>
      <c r="J696" s="325"/>
      <c r="K696" s="329"/>
      <c r="L696" s="325"/>
      <c r="M696" s="325"/>
    </row>
    <row r="697" spans="8:13" ht="15.75">
      <c r="H697" s="325"/>
      <c r="I697" s="325"/>
      <c r="J697" s="325"/>
      <c r="K697" s="329"/>
      <c r="L697" s="325"/>
      <c r="M697" s="325"/>
    </row>
    <row r="698" spans="8:13" ht="15.75">
      <c r="H698" s="325"/>
      <c r="I698" s="325"/>
      <c r="J698" s="325"/>
      <c r="K698" s="329"/>
      <c r="L698" s="325"/>
      <c r="M698" s="325"/>
    </row>
    <row r="699" spans="8:13" ht="15.75">
      <c r="H699" s="325"/>
      <c r="I699" s="325"/>
      <c r="J699" s="325"/>
      <c r="K699" s="329"/>
      <c r="L699" s="325"/>
      <c r="M699" s="325"/>
    </row>
    <row r="700" spans="8:13" ht="15.75">
      <c r="H700" s="325"/>
      <c r="I700" s="325"/>
      <c r="J700" s="325"/>
      <c r="K700" s="329"/>
      <c r="L700" s="325"/>
      <c r="M700" s="325"/>
    </row>
    <row r="701" spans="8:13" ht="15.75">
      <c r="H701" s="325"/>
      <c r="I701" s="325"/>
      <c r="J701" s="325"/>
      <c r="K701" s="329"/>
      <c r="L701" s="325"/>
      <c r="M701" s="325"/>
    </row>
    <row r="702" spans="8:13" ht="15.75">
      <c r="H702" s="325"/>
      <c r="I702" s="325"/>
      <c r="J702" s="325"/>
      <c r="K702" s="329"/>
      <c r="L702" s="325"/>
      <c r="M702" s="325"/>
    </row>
    <row r="703" spans="8:13" ht="15.75">
      <c r="H703" s="325"/>
      <c r="I703" s="325"/>
      <c r="J703" s="325"/>
      <c r="K703" s="329"/>
      <c r="L703" s="325"/>
      <c r="M703" s="325"/>
    </row>
    <row r="704" spans="8:13" ht="15.75">
      <c r="H704" s="325"/>
      <c r="I704" s="325"/>
      <c r="J704" s="325"/>
      <c r="K704" s="329"/>
      <c r="L704" s="325"/>
      <c r="M704" s="325"/>
    </row>
    <row r="705" spans="8:13" ht="15.75">
      <c r="H705" s="325"/>
      <c r="I705" s="325"/>
      <c r="J705" s="325"/>
      <c r="K705" s="329"/>
      <c r="L705" s="325"/>
      <c r="M705" s="325"/>
    </row>
    <row r="706" spans="8:13" ht="15.75">
      <c r="H706" s="325"/>
      <c r="I706" s="325"/>
      <c r="J706" s="325"/>
      <c r="K706" s="329"/>
      <c r="L706" s="325"/>
      <c r="M706" s="325"/>
    </row>
    <row r="707" spans="8:13" ht="15.75">
      <c r="H707" s="325"/>
      <c r="I707" s="325"/>
      <c r="J707" s="325"/>
      <c r="K707" s="329"/>
      <c r="L707" s="325"/>
      <c r="M707" s="325"/>
    </row>
    <row r="708" spans="8:13" ht="15.75">
      <c r="H708" s="325"/>
      <c r="I708" s="325"/>
      <c r="J708" s="325"/>
      <c r="K708" s="329"/>
      <c r="L708" s="325"/>
      <c r="M708" s="325"/>
    </row>
    <row r="709" spans="8:13" ht="15.75">
      <c r="H709" s="325"/>
      <c r="I709" s="325"/>
      <c r="J709" s="325"/>
      <c r="K709" s="329"/>
      <c r="L709" s="325"/>
      <c r="M709" s="325"/>
    </row>
    <row r="710" spans="8:13" ht="15.75">
      <c r="H710" s="325"/>
      <c r="I710" s="325"/>
      <c r="J710" s="325"/>
      <c r="K710" s="329"/>
      <c r="L710" s="325"/>
      <c r="M710" s="325"/>
    </row>
    <row r="711" spans="8:13" ht="15.75">
      <c r="H711" s="325"/>
      <c r="I711" s="325"/>
      <c r="J711" s="325"/>
      <c r="K711" s="329"/>
      <c r="L711" s="325"/>
      <c r="M711" s="325"/>
    </row>
    <row r="712" spans="8:13" ht="15.75">
      <c r="H712" s="325"/>
      <c r="I712" s="325"/>
      <c r="J712" s="325"/>
      <c r="K712" s="329"/>
      <c r="L712" s="325"/>
      <c r="M712" s="325"/>
    </row>
    <row r="713" spans="8:13" ht="15.75">
      <c r="H713" s="325"/>
      <c r="I713" s="325"/>
      <c r="J713" s="325"/>
      <c r="K713" s="329"/>
      <c r="L713" s="325"/>
      <c r="M713" s="325"/>
    </row>
    <row r="714" spans="8:13" ht="15.75">
      <c r="H714" s="325"/>
      <c r="I714" s="325"/>
      <c r="J714" s="325"/>
      <c r="K714" s="329"/>
      <c r="L714" s="325"/>
      <c r="M714" s="325"/>
    </row>
    <row r="715" spans="8:13" ht="15.75">
      <c r="H715" s="325"/>
      <c r="I715" s="325"/>
      <c r="J715" s="325"/>
      <c r="K715" s="329"/>
      <c r="L715" s="325"/>
      <c r="M715" s="325"/>
    </row>
    <row r="716" spans="8:13" ht="15.75">
      <c r="H716" s="325"/>
      <c r="I716" s="325"/>
      <c r="J716" s="325"/>
      <c r="K716" s="329"/>
      <c r="L716" s="325"/>
      <c r="M716" s="325"/>
    </row>
    <row r="717" spans="8:13" ht="15.75">
      <c r="H717" s="325"/>
      <c r="I717" s="325"/>
      <c r="J717" s="325"/>
      <c r="K717" s="329"/>
      <c r="L717" s="325"/>
      <c r="M717" s="325"/>
    </row>
    <row r="718" spans="8:13" ht="15.75">
      <c r="H718" s="325"/>
      <c r="I718" s="325"/>
      <c r="J718" s="325"/>
      <c r="K718" s="329"/>
      <c r="L718" s="325"/>
      <c r="M718" s="325"/>
    </row>
    <row r="719" spans="8:13" ht="15.75">
      <c r="H719" s="325"/>
      <c r="I719" s="325"/>
      <c r="J719" s="325"/>
      <c r="K719" s="329"/>
      <c r="L719" s="325"/>
      <c r="M719" s="325"/>
    </row>
    <row r="720" spans="8:13" ht="15.75">
      <c r="H720" s="325"/>
      <c r="I720" s="325"/>
      <c r="J720" s="325"/>
      <c r="K720" s="329"/>
      <c r="L720" s="325"/>
      <c r="M720" s="325"/>
    </row>
    <row r="721" spans="8:13" ht="15.75">
      <c r="H721" s="325"/>
      <c r="I721" s="325"/>
      <c r="J721" s="325"/>
      <c r="K721" s="329"/>
      <c r="L721" s="325"/>
      <c r="M721" s="325"/>
    </row>
    <row r="722" spans="8:13" ht="15.75">
      <c r="H722" s="325"/>
      <c r="I722" s="325"/>
      <c r="J722" s="325"/>
      <c r="K722" s="329"/>
      <c r="L722" s="325"/>
      <c r="M722" s="325"/>
    </row>
    <row r="723" spans="8:13" ht="15.75">
      <c r="H723" s="325"/>
      <c r="I723" s="325"/>
      <c r="J723" s="325"/>
      <c r="K723" s="329"/>
      <c r="L723" s="325"/>
      <c r="M723" s="325"/>
    </row>
    <row r="724" spans="8:13" ht="15.75">
      <c r="H724" s="325"/>
      <c r="I724" s="325"/>
      <c r="J724" s="325"/>
      <c r="K724" s="329"/>
      <c r="L724" s="325"/>
      <c r="M724" s="325"/>
    </row>
    <row r="725" spans="8:13" ht="15.75">
      <c r="H725" s="325"/>
      <c r="I725" s="325"/>
      <c r="J725" s="325"/>
      <c r="K725" s="329"/>
      <c r="L725" s="325"/>
      <c r="M725" s="325"/>
    </row>
    <row r="726" spans="8:13" ht="15.75">
      <c r="H726" s="325"/>
      <c r="I726" s="325"/>
      <c r="J726" s="325"/>
      <c r="K726" s="329"/>
      <c r="L726" s="325"/>
      <c r="M726" s="325"/>
    </row>
    <row r="727" spans="8:13" ht="15.75">
      <c r="H727" s="325"/>
      <c r="I727" s="325"/>
      <c r="J727" s="325"/>
      <c r="K727" s="329"/>
      <c r="L727" s="325"/>
      <c r="M727" s="325"/>
    </row>
    <row r="728" spans="8:13" ht="15.75">
      <c r="H728" s="325"/>
      <c r="I728" s="325"/>
      <c r="J728" s="325"/>
      <c r="K728" s="329"/>
      <c r="L728" s="325"/>
      <c r="M728" s="325"/>
    </row>
    <row r="729" spans="8:13" ht="15.75">
      <c r="H729" s="325"/>
      <c r="I729" s="325"/>
      <c r="J729" s="325"/>
      <c r="K729" s="329"/>
      <c r="L729" s="325"/>
      <c r="M729" s="325"/>
    </row>
    <row r="730" spans="8:13" ht="15.75">
      <c r="H730" s="325"/>
      <c r="I730" s="325"/>
      <c r="J730" s="325"/>
      <c r="K730" s="329"/>
      <c r="L730" s="325"/>
      <c r="M730" s="325"/>
    </row>
    <row r="731" spans="8:13" ht="15.75">
      <c r="H731" s="325"/>
      <c r="I731" s="325"/>
      <c r="J731" s="325"/>
      <c r="K731" s="329"/>
      <c r="L731" s="325"/>
      <c r="M731" s="325"/>
    </row>
    <row r="732" spans="8:13" ht="15.75">
      <c r="H732" s="325"/>
      <c r="I732" s="325"/>
      <c r="J732" s="325"/>
      <c r="K732" s="329"/>
      <c r="L732" s="325"/>
      <c r="M732" s="325"/>
    </row>
    <row r="733" spans="8:13" ht="15.75">
      <c r="H733" s="325"/>
      <c r="I733" s="325"/>
      <c r="J733" s="325"/>
      <c r="K733" s="329"/>
      <c r="L733" s="325"/>
      <c r="M733" s="325"/>
    </row>
    <row r="734" spans="8:13" ht="15.75">
      <c r="H734" s="325"/>
      <c r="I734" s="325"/>
      <c r="J734" s="325"/>
      <c r="K734" s="329"/>
      <c r="L734" s="325"/>
      <c r="M734" s="325"/>
    </row>
    <row r="735" spans="8:13" ht="15.75">
      <c r="H735" s="325"/>
      <c r="I735" s="325"/>
      <c r="J735" s="325"/>
      <c r="K735" s="329"/>
      <c r="L735" s="325"/>
      <c r="M735" s="325"/>
    </row>
    <row r="736" spans="8:13" ht="15.75">
      <c r="H736" s="325"/>
      <c r="I736" s="325"/>
      <c r="J736" s="325"/>
      <c r="K736" s="329"/>
      <c r="L736" s="325"/>
      <c r="M736" s="325"/>
    </row>
    <row r="737" spans="8:13" ht="15.75">
      <c r="H737" s="325"/>
      <c r="I737" s="325"/>
      <c r="J737" s="325"/>
      <c r="K737" s="329"/>
      <c r="L737" s="325"/>
      <c r="M737" s="325"/>
    </row>
    <row r="738" spans="8:13" ht="15.75">
      <c r="H738" s="325"/>
      <c r="I738" s="325"/>
      <c r="J738" s="325"/>
      <c r="K738" s="329"/>
      <c r="L738" s="325"/>
      <c r="M738" s="325"/>
    </row>
    <row r="739" spans="8:13" ht="15.75">
      <c r="H739" s="325"/>
      <c r="I739" s="325"/>
      <c r="J739" s="325"/>
      <c r="K739" s="329"/>
      <c r="L739" s="325"/>
      <c r="M739" s="325"/>
    </row>
    <row r="740" spans="8:13" ht="15.75">
      <c r="H740" s="325"/>
      <c r="I740" s="325"/>
      <c r="J740" s="325"/>
      <c r="K740" s="329"/>
      <c r="L740" s="325"/>
      <c r="M740" s="325"/>
    </row>
    <row r="741" spans="8:13" ht="15.75">
      <c r="H741" s="325"/>
      <c r="I741" s="325"/>
      <c r="J741" s="325"/>
      <c r="K741" s="329"/>
      <c r="L741" s="325"/>
      <c r="M741" s="325"/>
    </row>
    <row r="742" spans="8:13" ht="15.75">
      <c r="H742" s="325"/>
      <c r="I742" s="325"/>
      <c r="J742" s="325"/>
      <c r="K742" s="329"/>
      <c r="L742" s="325"/>
      <c r="M742" s="325"/>
    </row>
    <row r="743" spans="8:13" ht="15.75">
      <c r="H743" s="325"/>
      <c r="I743" s="325"/>
      <c r="J743" s="325"/>
      <c r="K743" s="329"/>
      <c r="L743" s="325"/>
      <c r="M743" s="325"/>
    </row>
    <row r="744" spans="8:13" ht="15.75">
      <c r="H744" s="325"/>
      <c r="I744" s="325"/>
      <c r="J744" s="325"/>
      <c r="K744" s="329"/>
      <c r="L744" s="325"/>
      <c r="M744" s="325"/>
    </row>
    <row r="745" spans="8:13" ht="15.75">
      <c r="H745" s="325"/>
      <c r="I745" s="325"/>
      <c r="J745" s="325"/>
      <c r="K745" s="329"/>
      <c r="L745" s="325"/>
      <c r="M745" s="325"/>
    </row>
    <row r="746" spans="8:13" ht="15.75">
      <c r="H746" s="325"/>
      <c r="I746" s="325"/>
      <c r="J746" s="325"/>
      <c r="K746" s="329"/>
      <c r="L746" s="325"/>
      <c r="M746" s="325"/>
    </row>
    <row r="747" spans="8:13" ht="15.75">
      <c r="H747" s="325"/>
      <c r="I747" s="325"/>
      <c r="J747" s="325"/>
      <c r="K747" s="329"/>
      <c r="L747" s="325"/>
      <c r="M747" s="325"/>
    </row>
    <row r="748" spans="8:13" ht="15.75">
      <c r="H748" s="325"/>
      <c r="I748" s="325"/>
      <c r="J748" s="325"/>
      <c r="K748" s="329"/>
      <c r="L748" s="325"/>
      <c r="M748" s="325"/>
    </row>
    <row r="749" spans="8:13" ht="15.75">
      <c r="H749" s="325"/>
      <c r="I749" s="325"/>
      <c r="J749" s="325"/>
      <c r="K749" s="329"/>
      <c r="L749" s="325"/>
      <c r="M749" s="325"/>
    </row>
    <row r="750" spans="8:13" ht="15.75">
      <c r="H750" s="325"/>
      <c r="I750" s="325"/>
      <c r="J750" s="325"/>
      <c r="K750" s="329"/>
      <c r="L750" s="325"/>
      <c r="M750" s="325"/>
    </row>
    <row r="751" spans="8:13" ht="15.75">
      <c r="H751" s="325"/>
      <c r="I751" s="325"/>
      <c r="J751" s="325"/>
      <c r="K751" s="329"/>
      <c r="L751" s="325"/>
      <c r="M751" s="325"/>
    </row>
    <row r="752" spans="8:13" ht="15.75">
      <c r="H752" s="325"/>
      <c r="I752" s="325"/>
      <c r="J752" s="325"/>
      <c r="K752" s="329"/>
      <c r="L752" s="325"/>
      <c r="M752" s="325"/>
    </row>
    <row r="753" spans="8:13" ht="15.75">
      <c r="H753" s="325"/>
      <c r="I753" s="325"/>
      <c r="J753" s="325"/>
      <c r="K753" s="329"/>
      <c r="L753" s="325"/>
      <c r="M753" s="325"/>
    </row>
    <row r="754" spans="8:13" ht="15.75">
      <c r="H754" s="325"/>
      <c r="I754" s="325"/>
      <c r="J754" s="325"/>
      <c r="K754" s="329"/>
      <c r="L754" s="325"/>
      <c r="M754" s="325"/>
    </row>
    <row r="755" spans="8:13" ht="15.75">
      <c r="H755" s="325"/>
      <c r="I755" s="325"/>
      <c r="J755" s="325"/>
      <c r="K755" s="329"/>
      <c r="L755" s="325"/>
      <c r="M755" s="325"/>
    </row>
    <row r="756" spans="8:13" ht="15.75">
      <c r="H756" s="325"/>
      <c r="I756" s="325"/>
      <c r="J756" s="325"/>
      <c r="K756" s="329"/>
      <c r="L756" s="325"/>
      <c r="M756" s="325"/>
    </row>
    <row r="757" spans="8:13" ht="15.75">
      <c r="H757" s="325"/>
      <c r="I757" s="325"/>
      <c r="J757" s="325"/>
      <c r="K757" s="329"/>
      <c r="L757" s="325"/>
      <c r="M757" s="325"/>
    </row>
    <row r="758" spans="8:13" ht="15.75">
      <c r="H758" s="325"/>
      <c r="I758" s="325"/>
      <c r="J758" s="325"/>
      <c r="K758" s="329"/>
      <c r="L758" s="325"/>
      <c r="M758" s="325"/>
    </row>
    <row r="759" spans="8:13" ht="15.75">
      <c r="H759" s="325"/>
      <c r="I759" s="325"/>
      <c r="J759" s="325"/>
      <c r="K759" s="329"/>
      <c r="L759" s="325"/>
      <c r="M759" s="325"/>
    </row>
    <row r="760" spans="8:13" ht="15.75">
      <c r="H760" s="325"/>
      <c r="I760" s="325"/>
      <c r="J760" s="325"/>
      <c r="K760" s="329"/>
      <c r="L760" s="325"/>
      <c r="M760" s="325"/>
    </row>
    <row r="761" spans="8:13" ht="15.75">
      <c r="H761" s="325"/>
      <c r="I761" s="325"/>
      <c r="J761" s="325"/>
      <c r="K761" s="329"/>
      <c r="L761" s="325"/>
      <c r="M761" s="325"/>
    </row>
    <row r="762" spans="8:13" ht="15.75">
      <c r="H762" s="325"/>
      <c r="I762" s="325"/>
      <c r="J762" s="325"/>
      <c r="K762" s="329"/>
      <c r="L762" s="325"/>
      <c r="M762" s="325"/>
    </row>
    <row r="763" spans="8:13" ht="15.75">
      <c r="H763" s="325"/>
      <c r="I763" s="325"/>
      <c r="J763" s="325"/>
      <c r="K763" s="329"/>
      <c r="L763" s="325"/>
      <c r="M763" s="325"/>
    </row>
    <row r="764" spans="8:13" ht="15.75">
      <c r="H764" s="325"/>
      <c r="I764" s="325"/>
      <c r="J764" s="325"/>
      <c r="K764" s="329"/>
      <c r="L764" s="325"/>
      <c r="M764" s="325"/>
    </row>
    <row r="765" spans="8:13" ht="15.75">
      <c r="H765" s="325"/>
      <c r="I765" s="325"/>
      <c r="J765" s="325"/>
      <c r="K765" s="329"/>
      <c r="L765" s="325"/>
      <c r="M765" s="325"/>
    </row>
    <row r="766" spans="8:13" ht="15.75">
      <c r="H766" s="325"/>
      <c r="I766" s="325"/>
      <c r="J766" s="325"/>
      <c r="K766" s="329"/>
      <c r="L766" s="325"/>
      <c r="M766" s="325"/>
    </row>
    <row r="767" spans="8:13" ht="15.75">
      <c r="H767" s="325"/>
      <c r="I767" s="325"/>
      <c r="J767" s="325"/>
      <c r="K767" s="329"/>
      <c r="L767" s="325"/>
      <c r="M767" s="325"/>
    </row>
    <row r="768" spans="8:13" ht="15.75">
      <c r="H768" s="325"/>
      <c r="I768" s="325"/>
      <c r="J768" s="325"/>
      <c r="K768" s="329"/>
      <c r="L768" s="325"/>
      <c r="M768" s="325"/>
    </row>
    <row r="769" spans="8:13" ht="15.75">
      <c r="H769" s="325"/>
      <c r="I769" s="325"/>
      <c r="J769" s="325"/>
      <c r="K769" s="329"/>
      <c r="L769" s="325"/>
      <c r="M769" s="325"/>
    </row>
    <row r="770" spans="8:13" ht="15.75">
      <c r="H770" s="325"/>
      <c r="I770" s="325"/>
      <c r="J770" s="325"/>
      <c r="K770" s="329"/>
      <c r="L770" s="325"/>
      <c r="M770" s="325"/>
    </row>
    <row r="771" spans="8:13" ht="15.75">
      <c r="H771" s="325"/>
      <c r="I771" s="325"/>
      <c r="J771" s="325"/>
      <c r="K771" s="329"/>
      <c r="L771" s="325"/>
      <c r="M771" s="325"/>
    </row>
    <row r="772" spans="8:13" ht="15.75">
      <c r="H772" s="325"/>
      <c r="I772" s="325"/>
      <c r="J772" s="325"/>
      <c r="K772" s="329"/>
      <c r="L772" s="325"/>
      <c r="M772" s="325"/>
    </row>
    <row r="773" spans="8:13" ht="15.75">
      <c r="H773" s="325"/>
      <c r="I773" s="325"/>
      <c r="J773" s="325"/>
      <c r="K773" s="329"/>
      <c r="L773" s="325"/>
      <c r="M773" s="325"/>
    </row>
    <row r="774" spans="8:13" ht="15.75">
      <c r="H774" s="325"/>
      <c r="I774" s="325"/>
      <c r="J774" s="325"/>
      <c r="K774" s="329"/>
      <c r="L774" s="325"/>
      <c r="M774" s="325"/>
    </row>
    <row r="775" spans="8:13" ht="15.75">
      <c r="H775" s="325"/>
      <c r="I775" s="325"/>
      <c r="J775" s="325"/>
      <c r="K775" s="329"/>
      <c r="L775" s="325"/>
      <c r="M775" s="325"/>
    </row>
    <row r="776" spans="8:13" ht="15.75">
      <c r="H776" s="325"/>
      <c r="I776" s="325"/>
      <c r="J776" s="325"/>
      <c r="K776" s="329"/>
      <c r="L776" s="325"/>
      <c r="M776" s="325"/>
    </row>
    <row r="777" spans="8:13" ht="15.75">
      <c r="H777" s="325"/>
      <c r="I777" s="325"/>
      <c r="J777" s="325"/>
      <c r="K777" s="329"/>
      <c r="L777" s="325"/>
      <c r="M777" s="325"/>
    </row>
    <row r="778" spans="8:13" ht="15.75">
      <c r="H778" s="325"/>
      <c r="I778" s="325"/>
      <c r="J778" s="325"/>
      <c r="K778" s="329"/>
      <c r="L778" s="325"/>
      <c r="M778" s="325"/>
    </row>
    <row r="779" spans="8:13" ht="15.75">
      <c r="H779" s="325"/>
      <c r="I779" s="325"/>
      <c r="J779" s="325"/>
      <c r="K779" s="329"/>
      <c r="L779" s="325"/>
      <c r="M779" s="325"/>
    </row>
    <row r="780" spans="8:13" ht="15.75">
      <c r="H780" s="325"/>
      <c r="I780" s="325"/>
      <c r="J780" s="325"/>
      <c r="K780" s="329"/>
      <c r="L780" s="325"/>
      <c r="M780" s="325"/>
    </row>
    <row r="781" spans="8:13" ht="15.75">
      <c r="H781" s="325"/>
      <c r="I781" s="325"/>
      <c r="J781" s="325"/>
      <c r="K781" s="329"/>
      <c r="L781" s="325"/>
      <c r="M781" s="325"/>
    </row>
    <row r="782" spans="8:13" ht="15.75">
      <c r="H782" s="325"/>
      <c r="I782" s="325"/>
      <c r="J782" s="325"/>
      <c r="K782" s="329"/>
      <c r="L782" s="325"/>
      <c r="M782" s="325"/>
    </row>
    <row r="783" spans="8:13" ht="15.75">
      <c r="H783" s="325"/>
      <c r="I783" s="325"/>
      <c r="J783" s="325"/>
      <c r="K783" s="329"/>
      <c r="L783" s="325"/>
      <c r="M783" s="325"/>
    </row>
    <row r="784" spans="8:13" ht="15.75">
      <c r="H784" s="325"/>
      <c r="I784" s="325"/>
      <c r="J784" s="325"/>
      <c r="K784" s="329"/>
      <c r="L784" s="325"/>
      <c r="M784" s="325"/>
    </row>
    <row r="785" spans="8:13" ht="15.75">
      <c r="H785" s="325"/>
      <c r="I785" s="325"/>
      <c r="J785" s="325"/>
      <c r="K785" s="329"/>
      <c r="L785" s="325"/>
      <c r="M785" s="325"/>
    </row>
    <row r="786" spans="8:13" ht="15.75">
      <c r="H786" s="325"/>
      <c r="I786" s="325"/>
      <c r="J786" s="325"/>
      <c r="K786" s="329"/>
      <c r="L786" s="325"/>
      <c r="M786" s="325"/>
    </row>
    <row r="787" spans="8:13" ht="15.75">
      <c r="H787" s="325"/>
      <c r="I787" s="325"/>
      <c r="J787" s="325"/>
      <c r="K787" s="329"/>
      <c r="L787" s="325"/>
      <c r="M787" s="325"/>
    </row>
    <row r="788" spans="8:13" ht="15.75">
      <c r="H788" s="325"/>
      <c r="I788" s="325"/>
      <c r="J788" s="325"/>
      <c r="K788" s="329"/>
      <c r="L788" s="325"/>
      <c r="M788" s="325"/>
    </row>
    <row r="789" spans="8:13" ht="15.75">
      <c r="H789" s="325"/>
      <c r="I789" s="325"/>
      <c r="J789" s="325"/>
      <c r="K789" s="329"/>
      <c r="L789" s="325"/>
      <c r="M789" s="325"/>
    </row>
    <row r="790" spans="8:13" ht="15.75">
      <c r="H790" s="325"/>
      <c r="I790" s="325"/>
      <c r="J790" s="325"/>
      <c r="K790" s="329"/>
      <c r="L790" s="325"/>
      <c r="M790" s="325"/>
    </row>
    <row r="791" spans="8:13" ht="15.75">
      <c r="H791" s="325"/>
      <c r="I791" s="325"/>
      <c r="J791" s="325"/>
      <c r="K791" s="329"/>
      <c r="L791" s="325"/>
      <c r="M791" s="325"/>
    </row>
    <row r="792" spans="8:13" ht="15.75">
      <c r="H792" s="325"/>
      <c r="I792" s="325"/>
      <c r="J792" s="325"/>
      <c r="K792" s="329"/>
      <c r="L792" s="325"/>
      <c r="M792" s="325"/>
    </row>
    <row r="793" spans="8:13" ht="15.75">
      <c r="H793" s="325"/>
      <c r="I793" s="325"/>
      <c r="J793" s="325"/>
      <c r="K793" s="329"/>
      <c r="L793" s="325"/>
      <c r="M793" s="325"/>
    </row>
    <row r="794" spans="8:13" ht="15.75">
      <c r="H794" s="325"/>
      <c r="I794" s="325"/>
      <c r="J794" s="325"/>
      <c r="K794" s="329"/>
      <c r="L794" s="325"/>
      <c r="M794" s="325"/>
    </row>
    <row r="795" spans="8:13" ht="15.75">
      <c r="H795" s="325"/>
      <c r="I795" s="325"/>
      <c r="J795" s="325"/>
      <c r="K795" s="329"/>
      <c r="L795" s="325"/>
      <c r="M795" s="325"/>
    </row>
    <row r="796" spans="8:13" ht="15.75">
      <c r="H796" s="325"/>
      <c r="I796" s="325"/>
      <c r="J796" s="325"/>
      <c r="K796" s="329"/>
      <c r="L796" s="325"/>
      <c r="M796" s="325"/>
    </row>
    <row r="797" spans="8:13" ht="15.75">
      <c r="H797" s="325"/>
      <c r="I797" s="325"/>
      <c r="J797" s="325"/>
      <c r="K797" s="329"/>
      <c r="L797" s="325"/>
      <c r="M797" s="325"/>
    </row>
    <row r="798" spans="8:13" ht="15.75">
      <c r="H798" s="325"/>
      <c r="I798" s="325"/>
      <c r="J798" s="325"/>
      <c r="K798" s="329"/>
      <c r="L798" s="325"/>
      <c r="M798" s="325"/>
    </row>
    <row r="799" spans="8:13" ht="15.75">
      <c r="H799" s="325"/>
      <c r="I799" s="325"/>
      <c r="J799" s="325"/>
      <c r="K799" s="329"/>
      <c r="L799" s="325"/>
      <c r="M799" s="325"/>
    </row>
    <row r="800" spans="8:13" ht="15.75">
      <c r="H800" s="325"/>
      <c r="I800" s="325"/>
      <c r="J800" s="325"/>
      <c r="K800" s="329"/>
      <c r="L800" s="325"/>
      <c r="M800" s="325"/>
    </row>
    <row r="801" spans="8:13" ht="15.75">
      <c r="H801" s="325"/>
      <c r="I801" s="325"/>
      <c r="J801" s="325"/>
      <c r="K801" s="329"/>
      <c r="L801" s="325"/>
      <c r="M801" s="325"/>
    </row>
    <row r="802" spans="8:13" ht="15.75">
      <c r="H802" s="325"/>
      <c r="I802" s="325"/>
      <c r="J802" s="325"/>
      <c r="K802" s="329"/>
      <c r="L802" s="325"/>
      <c r="M802" s="325"/>
    </row>
    <row r="803" spans="8:13" ht="15.75">
      <c r="H803" s="325"/>
      <c r="I803" s="325"/>
      <c r="J803" s="325"/>
      <c r="K803" s="329"/>
      <c r="L803" s="325"/>
      <c r="M803" s="325"/>
    </row>
    <row r="804" spans="8:13" ht="15.75">
      <c r="H804" s="325"/>
      <c r="I804" s="325"/>
      <c r="J804" s="325"/>
      <c r="K804" s="329"/>
      <c r="L804" s="325"/>
      <c r="M804" s="325"/>
    </row>
    <row r="805" spans="8:13" ht="15.75">
      <c r="H805" s="325"/>
      <c r="I805" s="325"/>
      <c r="J805" s="325"/>
      <c r="K805" s="329"/>
      <c r="L805" s="325"/>
      <c r="M805" s="325"/>
    </row>
    <row r="806" spans="8:13" ht="15.75">
      <c r="H806" s="325"/>
      <c r="I806" s="325"/>
      <c r="J806" s="325"/>
      <c r="K806" s="329"/>
      <c r="L806" s="325"/>
      <c r="M806" s="325"/>
    </row>
    <row r="807" spans="8:13" ht="15.75">
      <c r="H807" s="325"/>
      <c r="I807" s="325"/>
      <c r="J807" s="325"/>
      <c r="K807" s="329"/>
      <c r="L807" s="325"/>
      <c r="M807" s="325"/>
    </row>
    <row r="808" spans="8:13" ht="15.75">
      <c r="H808" s="325"/>
      <c r="I808" s="325"/>
      <c r="J808" s="325"/>
      <c r="K808" s="329"/>
      <c r="L808" s="325"/>
      <c r="M808" s="325"/>
    </row>
    <row r="809" spans="8:13" ht="15.75">
      <c r="H809" s="325"/>
      <c r="I809" s="325"/>
      <c r="J809" s="325"/>
      <c r="K809" s="329"/>
      <c r="L809" s="325"/>
      <c r="M809" s="325"/>
    </row>
    <row r="810" spans="8:13" ht="15.75">
      <c r="H810" s="325"/>
      <c r="I810" s="325"/>
      <c r="J810" s="325"/>
      <c r="K810" s="329"/>
      <c r="L810" s="325"/>
      <c r="M810" s="325"/>
    </row>
    <row r="811" spans="8:13" ht="15.75">
      <c r="H811" s="325"/>
      <c r="I811" s="325"/>
      <c r="J811" s="325"/>
      <c r="K811" s="329"/>
      <c r="L811" s="325"/>
      <c r="M811" s="325"/>
    </row>
    <row r="812" spans="8:13" ht="15.75">
      <c r="H812" s="325"/>
      <c r="I812" s="325"/>
      <c r="J812" s="325"/>
      <c r="K812" s="329"/>
      <c r="L812" s="325"/>
      <c r="M812" s="325"/>
    </row>
    <row r="813" spans="8:13" ht="15.75">
      <c r="H813" s="325"/>
      <c r="I813" s="325"/>
      <c r="J813" s="325"/>
      <c r="K813" s="329"/>
      <c r="L813" s="325"/>
      <c r="M813" s="325"/>
    </row>
    <row r="814" spans="8:13" ht="15.75">
      <c r="H814" s="325"/>
      <c r="I814" s="325"/>
      <c r="J814" s="325"/>
      <c r="K814" s="329"/>
      <c r="L814" s="325"/>
      <c r="M814" s="325"/>
    </row>
    <row r="815" spans="8:13" ht="15.75">
      <c r="H815" s="325"/>
      <c r="I815" s="325"/>
      <c r="J815" s="325"/>
      <c r="K815" s="329"/>
      <c r="L815" s="325"/>
      <c r="M815" s="325"/>
    </row>
    <row r="816" spans="8:13" ht="15.75">
      <c r="H816" s="325"/>
      <c r="I816" s="325"/>
      <c r="J816" s="325"/>
      <c r="K816" s="329"/>
      <c r="L816" s="325"/>
      <c r="M816" s="325"/>
    </row>
    <row r="817" spans="8:13" ht="15.75">
      <c r="H817" s="325"/>
      <c r="I817" s="325"/>
      <c r="J817" s="325"/>
      <c r="K817" s="329"/>
      <c r="L817" s="325"/>
      <c r="M817" s="325"/>
    </row>
    <row r="818" spans="8:13" ht="15.75">
      <c r="H818" s="325"/>
      <c r="I818" s="325"/>
      <c r="J818" s="325"/>
      <c r="K818" s="329"/>
      <c r="L818" s="325"/>
      <c r="M818" s="325"/>
    </row>
    <row r="819" spans="8:13" ht="15.75">
      <c r="H819" s="325"/>
      <c r="I819" s="325"/>
      <c r="J819" s="325"/>
      <c r="K819" s="329"/>
      <c r="L819" s="325"/>
      <c r="M819" s="325"/>
    </row>
    <row r="820" spans="8:13" ht="15.75">
      <c r="H820" s="325"/>
      <c r="I820" s="325"/>
      <c r="J820" s="325"/>
      <c r="K820" s="329"/>
      <c r="L820" s="325"/>
      <c r="M820" s="325"/>
    </row>
    <row r="821" spans="8:13" ht="15.75">
      <c r="H821" s="325"/>
      <c r="I821" s="325"/>
      <c r="J821" s="325"/>
      <c r="K821" s="329"/>
      <c r="L821" s="325"/>
      <c r="M821" s="325"/>
    </row>
    <row r="822" spans="8:13" ht="15.75">
      <c r="H822" s="325"/>
      <c r="I822" s="325"/>
      <c r="J822" s="325"/>
      <c r="K822" s="329"/>
      <c r="L822" s="325"/>
      <c r="M822" s="325"/>
    </row>
    <row r="823" spans="8:13" ht="15.75">
      <c r="H823" s="325"/>
      <c r="I823" s="325"/>
      <c r="J823" s="325"/>
      <c r="K823" s="329"/>
      <c r="L823" s="325"/>
      <c r="M823" s="325"/>
    </row>
    <row r="824" spans="8:13" ht="15.75">
      <c r="H824" s="325"/>
      <c r="I824" s="325"/>
      <c r="J824" s="325"/>
      <c r="K824" s="329"/>
      <c r="L824" s="325"/>
      <c r="M824" s="325"/>
    </row>
    <row r="825" spans="8:13" ht="15.75">
      <c r="H825" s="325"/>
      <c r="I825" s="325"/>
      <c r="J825" s="325"/>
      <c r="K825" s="329"/>
      <c r="L825" s="325"/>
      <c r="M825" s="325"/>
    </row>
    <row r="826" spans="8:13" ht="15.75">
      <c r="H826" s="325"/>
      <c r="I826" s="325"/>
      <c r="J826" s="325"/>
      <c r="K826" s="329"/>
      <c r="L826" s="325"/>
      <c r="M826" s="325"/>
    </row>
    <row r="827" spans="8:13" ht="15.75">
      <c r="H827" s="325"/>
      <c r="I827" s="325"/>
      <c r="J827" s="325"/>
      <c r="K827" s="329"/>
      <c r="L827" s="325"/>
      <c r="M827" s="325"/>
    </row>
    <row r="828" spans="8:13" ht="15.75">
      <c r="H828" s="325"/>
      <c r="I828" s="325"/>
      <c r="J828" s="325"/>
      <c r="K828" s="329"/>
      <c r="L828" s="325"/>
      <c r="M828" s="325"/>
    </row>
    <row r="829" spans="8:13" ht="15.75">
      <c r="H829" s="325"/>
      <c r="I829" s="325"/>
      <c r="J829" s="325"/>
      <c r="K829" s="329"/>
      <c r="L829" s="325"/>
      <c r="M829" s="325"/>
    </row>
    <row r="830" spans="8:13" ht="15.75">
      <c r="H830" s="325"/>
      <c r="I830" s="325"/>
      <c r="J830" s="325"/>
      <c r="K830" s="329"/>
      <c r="L830" s="325"/>
      <c r="M830" s="325"/>
    </row>
    <row r="831" spans="8:13" ht="15.75">
      <c r="H831" s="325"/>
      <c r="I831" s="325"/>
      <c r="J831" s="325"/>
      <c r="K831" s="329"/>
      <c r="L831" s="325"/>
      <c r="M831" s="325"/>
    </row>
    <row r="832" spans="8:13" ht="15.75">
      <c r="H832" s="325"/>
      <c r="I832" s="325"/>
      <c r="J832" s="325"/>
      <c r="K832" s="329"/>
      <c r="L832" s="325"/>
      <c r="M832" s="325"/>
    </row>
    <row r="833" spans="8:13" ht="15.75">
      <c r="H833" s="325"/>
      <c r="I833" s="325"/>
      <c r="J833" s="325"/>
      <c r="K833" s="329"/>
      <c r="L833" s="325"/>
      <c r="M833" s="325"/>
    </row>
    <row r="834" spans="8:13" ht="15.75">
      <c r="H834" s="325"/>
      <c r="I834" s="325"/>
      <c r="J834" s="325"/>
      <c r="K834" s="329"/>
      <c r="L834" s="325"/>
      <c r="M834" s="325"/>
    </row>
    <row r="835" spans="8:13" ht="15.75">
      <c r="H835" s="325"/>
      <c r="I835" s="325"/>
      <c r="J835" s="325"/>
      <c r="K835" s="329"/>
      <c r="L835" s="325"/>
      <c r="M835" s="325"/>
    </row>
    <row r="836" spans="8:13" ht="15.75">
      <c r="H836" s="325"/>
      <c r="I836" s="325"/>
      <c r="J836" s="325"/>
      <c r="K836" s="329"/>
      <c r="L836" s="325"/>
      <c r="M836" s="325"/>
    </row>
    <row r="837" spans="8:13" ht="15.75">
      <c r="H837" s="325"/>
      <c r="I837" s="325"/>
      <c r="J837" s="325"/>
      <c r="K837" s="329"/>
      <c r="L837" s="325"/>
      <c r="M837" s="325"/>
    </row>
    <row r="838" spans="8:13" ht="15.75">
      <c r="H838" s="325"/>
      <c r="I838" s="325"/>
      <c r="J838" s="325"/>
      <c r="K838" s="329"/>
      <c r="L838" s="325"/>
      <c r="M838" s="325"/>
    </row>
    <row r="839" spans="8:13" ht="15.75">
      <c r="H839" s="325"/>
      <c r="I839" s="325"/>
      <c r="J839" s="325"/>
      <c r="K839" s="329"/>
      <c r="L839" s="325"/>
      <c r="M839" s="325"/>
    </row>
    <row r="840" spans="8:13" ht="15.75">
      <c r="H840" s="325"/>
      <c r="I840" s="325"/>
      <c r="J840" s="325"/>
      <c r="K840" s="329"/>
      <c r="L840" s="325"/>
      <c r="M840" s="325"/>
    </row>
    <row r="841" spans="8:13" ht="15.75">
      <c r="H841" s="325"/>
      <c r="I841" s="325"/>
      <c r="J841" s="325"/>
      <c r="K841" s="329"/>
      <c r="L841" s="325"/>
      <c r="M841" s="325"/>
    </row>
    <row r="842" spans="8:13" ht="15.75">
      <c r="H842" s="325"/>
      <c r="I842" s="325"/>
      <c r="J842" s="325"/>
      <c r="K842" s="329"/>
      <c r="L842" s="325"/>
      <c r="M842" s="325"/>
    </row>
    <row r="843" spans="8:13" ht="15.75">
      <c r="H843" s="325"/>
      <c r="I843" s="325"/>
      <c r="J843" s="325"/>
      <c r="K843" s="329"/>
      <c r="L843" s="325"/>
      <c r="M843" s="325"/>
    </row>
    <row r="844" spans="8:13" ht="15.75">
      <c r="H844" s="325"/>
      <c r="I844" s="325"/>
      <c r="J844" s="325"/>
      <c r="K844" s="329"/>
      <c r="L844" s="325"/>
      <c r="M844" s="325"/>
    </row>
    <row r="845" spans="8:13" ht="15.75">
      <c r="H845" s="325"/>
      <c r="I845" s="325"/>
      <c r="J845" s="325"/>
      <c r="K845" s="329"/>
      <c r="L845" s="325"/>
      <c r="M845" s="325"/>
    </row>
    <row r="846" spans="8:13" ht="15.75">
      <c r="H846" s="325"/>
      <c r="I846" s="325"/>
      <c r="J846" s="325"/>
      <c r="K846" s="329"/>
      <c r="L846" s="325"/>
      <c r="M846" s="325"/>
    </row>
    <row r="847" spans="8:13" ht="15.75">
      <c r="H847" s="325"/>
      <c r="I847" s="325"/>
      <c r="J847" s="325"/>
      <c r="K847" s="329"/>
      <c r="L847" s="325"/>
      <c r="M847" s="325"/>
    </row>
    <row r="848" spans="8:13" ht="15.75">
      <c r="H848" s="325"/>
      <c r="I848" s="325"/>
      <c r="J848" s="325"/>
      <c r="K848" s="329"/>
      <c r="L848" s="325"/>
      <c r="M848" s="325"/>
    </row>
    <row r="849" spans="8:13" ht="15.75">
      <c r="H849" s="325"/>
      <c r="I849" s="325"/>
      <c r="J849" s="325"/>
      <c r="K849" s="329"/>
      <c r="L849" s="325"/>
      <c r="M849" s="325"/>
    </row>
    <row r="850" spans="8:13" ht="15.75">
      <c r="H850" s="325"/>
      <c r="I850" s="325"/>
      <c r="J850" s="325"/>
      <c r="K850" s="329"/>
      <c r="L850" s="325"/>
      <c r="M850" s="325"/>
    </row>
    <row r="851" spans="8:13" ht="15.75">
      <c r="H851" s="325"/>
      <c r="I851" s="325"/>
      <c r="J851" s="325"/>
      <c r="K851" s="329"/>
      <c r="L851" s="325"/>
      <c r="M851" s="325"/>
    </row>
    <row r="852" spans="8:13" ht="15.75">
      <c r="H852" s="325"/>
      <c r="I852" s="325"/>
      <c r="J852" s="325"/>
      <c r="K852" s="329"/>
      <c r="L852" s="325"/>
      <c r="M852" s="325"/>
    </row>
    <row r="853" spans="8:13" ht="15.75">
      <c r="H853" s="325"/>
      <c r="I853" s="325"/>
      <c r="J853" s="325"/>
      <c r="K853" s="329"/>
      <c r="L853" s="325"/>
      <c r="M853" s="325"/>
    </row>
    <row r="854" spans="8:13" ht="15.75">
      <c r="H854" s="325"/>
      <c r="I854" s="325"/>
      <c r="J854" s="325"/>
      <c r="K854" s="329"/>
      <c r="L854" s="325"/>
      <c r="M854" s="325"/>
    </row>
    <row r="855" spans="8:13" ht="15.75">
      <c r="H855" s="325"/>
      <c r="I855" s="325"/>
      <c r="J855" s="325"/>
      <c r="K855" s="329"/>
      <c r="L855" s="325"/>
      <c r="M855" s="325"/>
    </row>
    <row r="856" spans="8:13" ht="15.75">
      <c r="H856" s="325"/>
      <c r="I856" s="325"/>
      <c r="J856" s="325"/>
      <c r="K856" s="329"/>
      <c r="L856" s="325"/>
      <c r="M856" s="325"/>
    </row>
    <row r="857" spans="8:13" ht="15.75">
      <c r="H857" s="325"/>
      <c r="I857" s="325"/>
      <c r="J857" s="325"/>
      <c r="K857" s="329"/>
      <c r="L857" s="325"/>
      <c r="M857" s="325"/>
    </row>
    <row r="858" spans="8:13" ht="15.75">
      <c r="H858" s="325"/>
      <c r="I858" s="325"/>
      <c r="J858" s="325"/>
      <c r="K858" s="329"/>
      <c r="L858" s="325"/>
      <c r="M858" s="325"/>
    </row>
    <row r="859" spans="8:13" ht="15.75">
      <c r="H859" s="325"/>
      <c r="I859" s="325"/>
      <c r="J859" s="325"/>
      <c r="K859" s="329"/>
      <c r="L859" s="325"/>
      <c r="M859" s="325"/>
    </row>
    <row r="860" spans="8:13" ht="15.75">
      <c r="H860" s="325"/>
      <c r="I860" s="325"/>
      <c r="J860" s="325"/>
      <c r="K860" s="329"/>
      <c r="L860" s="325"/>
      <c r="M860" s="325"/>
    </row>
    <row r="861" spans="8:13" ht="15.75">
      <c r="H861" s="325"/>
      <c r="I861" s="325"/>
      <c r="J861" s="325"/>
      <c r="K861" s="329"/>
      <c r="L861" s="325"/>
      <c r="M861" s="325"/>
    </row>
    <row r="862" spans="8:13" ht="15.75">
      <c r="H862" s="325"/>
      <c r="I862" s="325"/>
      <c r="J862" s="325"/>
      <c r="K862" s="329"/>
      <c r="L862" s="325"/>
      <c r="M862" s="325"/>
    </row>
    <row r="863" spans="8:13" ht="15.75">
      <c r="H863" s="325"/>
      <c r="I863" s="325"/>
      <c r="J863" s="325"/>
      <c r="K863" s="329"/>
      <c r="L863" s="325"/>
      <c r="M863" s="325"/>
    </row>
    <row r="864" spans="8:13" ht="15.75">
      <c r="H864" s="325"/>
      <c r="I864" s="325"/>
      <c r="J864" s="325"/>
      <c r="K864" s="329"/>
      <c r="L864" s="325"/>
      <c r="M864" s="325"/>
    </row>
    <row r="865" spans="8:13" ht="15.75">
      <c r="H865" s="325"/>
      <c r="I865" s="325"/>
      <c r="J865" s="325"/>
      <c r="K865" s="329"/>
      <c r="L865" s="325"/>
      <c r="M865" s="325"/>
    </row>
    <row r="866" spans="8:13" ht="15.75">
      <c r="H866" s="325"/>
      <c r="I866" s="325"/>
      <c r="J866" s="325"/>
      <c r="K866" s="329"/>
      <c r="L866" s="325"/>
      <c r="M866" s="325"/>
    </row>
    <row r="867" spans="8:13" ht="15.75">
      <c r="H867" s="325"/>
      <c r="I867" s="325"/>
      <c r="J867" s="325"/>
      <c r="K867" s="329"/>
      <c r="L867" s="325"/>
      <c r="M867" s="325"/>
    </row>
    <row r="868" spans="8:13" ht="15.75">
      <c r="H868" s="325"/>
      <c r="I868" s="325"/>
      <c r="J868" s="325"/>
      <c r="K868" s="329"/>
      <c r="L868" s="325"/>
      <c r="M868" s="325"/>
    </row>
    <row r="869" spans="8:13" ht="15.75">
      <c r="H869" s="325"/>
      <c r="I869" s="325"/>
      <c r="J869" s="325"/>
      <c r="K869" s="329"/>
      <c r="L869" s="325"/>
      <c r="M869" s="325"/>
    </row>
    <row r="870" spans="8:13" ht="15.75">
      <c r="H870" s="325"/>
      <c r="I870" s="325"/>
      <c r="J870" s="325"/>
      <c r="K870" s="329"/>
      <c r="L870" s="325"/>
      <c r="M870" s="325"/>
    </row>
    <row r="871" spans="8:13" ht="15.75">
      <c r="H871" s="325"/>
      <c r="I871" s="325"/>
      <c r="J871" s="325"/>
      <c r="K871" s="329"/>
      <c r="L871" s="325"/>
      <c r="M871" s="325"/>
    </row>
    <row r="872" spans="8:13" ht="15.75">
      <c r="H872" s="325"/>
      <c r="I872" s="325"/>
      <c r="J872" s="325"/>
      <c r="K872" s="329"/>
      <c r="L872" s="325"/>
      <c r="M872" s="325"/>
    </row>
    <row r="873" spans="8:13" ht="15.75">
      <c r="H873" s="325"/>
      <c r="I873" s="325"/>
      <c r="J873" s="325"/>
      <c r="K873" s="329"/>
      <c r="L873" s="325"/>
      <c r="M873" s="325"/>
    </row>
    <row r="874" spans="8:13" ht="15.75">
      <c r="H874" s="325"/>
      <c r="I874" s="325"/>
      <c r="J874" s="325"/>
      <c r="K874" s="329"/>
      <c r="L874" s="325"/>
      <c r="M874" s="325"/>
    </row>
    <row r="875" spans="8:13" ht="15.75">
      <c r="H875" s="325"/>
      <c r="I875" s="325"/>
      <c r="J875" s="325"/>
      <c r="K875" s="329"/>
      <c r="L875" s="325"/>
      <c r="M875" s="325"/>
    </row>
    <row r="876" spans="8:13" ht="15.75">
      <c r="H876" s="325"/>
      <c r="I876" s="325"/>
      <c r="J876" s="325"/>
      <c r="K876" s="329"/>
      <c r="L876" s="325"/>
      <c r="M876" s="325"/>
    </row>
    <row r="877" spans="8:13" ht="15.75">
      <c r="H877" s="325"/>
      <c r="I877" s="325"/>
      <c r="J877" s="325"/>
      <c r="K877" s="329"/>
      <c r="L877" s="325"/>
      <c r="M877" s="325"/>
    </row>
    <row r="878" spans="8:13" ht="15.75">
      <c r="H878" s="325"/>
      <c r="I878" s="325"/>
      <c r="J878" s="325"/>
      <c r="K878" s="329"/>
      <c r="L878" s="325"/>
      <c r="M878" s="325"/>
    </row>
    <row r="879" spans="8:13" ht="15.75">
      <c r="H879" s="325"/>
      <c r="I879" s="325"/>
      <c r="J879" s="325"/>
      <c r="K879" s="329"/>
      <c r="L879" s="325"/>
      <c r="M879" s="325"/>
    </row>
    <row r="880" spans="8:13" ht="15.75">
      <c r="H880" s="325"/>
      <c r="I880" s="325"/>
      <c r="J880" s="325"/>
      <c r="K880" s="329"/>
      <c r="L880" s="325"/>
      <c r="M880" s="325"/>
    </row>
    <row r="881" spans="8:13" ht="15.75">
      <c r="H881" s="325"/>
      <c r="I881" s="325"/>
      <c r="J881" s="325"/>
      <c r="K881" s="329"/>
      <c r="L881" s="325"/>
      <c r="M881" s="325"/>
    </row>
    <row r="882" spans="8:13" ht="15.75">
      <c r="H882" s="325"/>
      <c r="I882" s="325"/>
      <c r="J882" s="325"/>
      <c r="K882" s="329"/>
      <c r="L882" s="325"/>
      <c r="M882" s="325"/>
    </row>
    <row r="883" spans="8:13" ht="15.75">
      <c r="H883" s="325"/>
      <c r="I883" s="325"/>
      <c r="J883" s="325"/>
      <c r="K883" s="329"/>
      <c r="L883" s="325"/>
      <c r="M883" s="325"/>
    </row>
    <row r="884" spans="8:13" ht="15.75">
      <c r="H884" s="325"/>
      <c r="I884" s="325"/>
      <c r="J884" s="325"/>
      <c r="K884" s="329"/>
      <c r="L884" s="325"/>
      <c r="M884" s="325"/>
    </row>
    <row r="885" spans="8:13" ht="15.75">
      <c r="H885" s="325"/>
      <c r="I885" s="325"/>
      <c r="J885" s="325"/>
      <c r="K885" s="329"/>
      <c r="L885" s="325"/>
      <c r="M885" s="325"/>
    </row>
    <row r="886" spans="8:13" ht="15.75">
      <c r="H886" s="325"/>
      <c r="I886" s="325"/>
      <c r="J886" s="325"/>
      <c r="K886" s="329"/>
      <c r="L886" s="325"/>
      <c r="M886" s="325"/>
    </row>
    <row r="887" spans="8:13" ht="15.75">
      <c r="H887" s="325"/>
      <c r="I887" s="325"/>
      <c r="J887" s="325"/>
      <c r="K887" s="329"/>
      <c r="L887" s="325"/>
      <c r="M887" s="325"/>
    </row>
    <row r="888" spans="8:13" ht="15.75">
      <c r="H888" s="325"/>
      <c r="I888" s="325"/>
      <c r="J888" s="325"/>
      <c r="K888" s="329"/>
      <c r="L888" s="325"/>
      <c r="M888" s="325"/>
    </row>
    <row r="889" spans="8:13" ht="15.75">
      <c r="H889" s="325"/>
      <c r="I889" s="325"/>
      <c r="J889" s="325"/>
      <c r="K889" s="329"/>
      <c r="L889" s="325"/>
      <c r="M889" s="325"/>
    </row>
    <row r="890" spans="8:13" ht="15.75">
      <c r="H890" s="325"/>
      <c r="I890" s="325"/>
      <c r="J890" s="325"/>
      <c r="K890" s="329"/>
      <c r="L890" s="325"/>
      <c r="M890" s="325"/>
    </row>
    <row r="891" spans="8:13" ht="15.75">
      <c r="H891" s="325"/>
      <c r="I891" s="325"/>
      <c r="J891" s="325"/>
      <c r="K891" s="329"/>
      <c r="L891" s="325"/>
      <c r="M891" s="325"/>
    </row>
    <row r="892" spans="8:13" ht="15.75">
      <c r="H892" s="325"/>
      <c r="I892" s="325"/>
      <c r="J892" s="325"/>
      <c r="K892" s="329"/>
      <c r="L892" s="325"/>
      <c r="M892" s="325"/>
    </row>
    <row r="893" spans="8:13" ht="15.75">
      <c r="H893" s="325"/>
      <c r="I893" s="325"/>
      <c r="J893" s="325"/>
      <c r="K893" s="329"/>
      <c r="L893" s="325"/>
      <c r="M893" s="325"/>
    </row>
    <row r="894" spans="8:13" ht="15.75">
      <c r="H894" s="325"/>
      <c r="I894" s="325"/>
      <c r="J894" s="325"/>
      <c r="K894" s="329"/>
      <c r="L894" s="325"/>
      <c r="M894" s="325"/>
    </row>
    <row r="895" spans="8:13" ht="15.75">
      <c r="H895" s="325"/>
      <c r="I895" s="325"/>
      <c r="J895" s="325"/>
      <c r="K895" s="329"/>
      <c r="L895" s="325"/>
      <c r="M895" s="325"/>
    </row>
    <row r="896" spans="8:13" ht="15.75">
      <c r="H896" s="325"/>
      <c r="I896" s="325"/>
      <c r="J896" s="325"/>
      <c r="K896" s="329"/>
      <c r="L896" s="325"/>
      <c r="M896" s="325"/>
    </row>
    <row r="897" spans="8:13" ht="15.75">
      <c r="H897" s="325"/>
      <c r="I897" s="325"/>
      <c r="J897" s="325"/>
      <c r="K897" s="329"/>
      <c r="L897" s="325"/>
      <c r="M897" s="325"/>
    </row>
    <row r="898" spans="8:13" ht="15.75">
      <c r="H898" s="325"/>
      <c r="I898" s="325"/>
      <c r="J898" s="325"/>
      <c r="K898" s="329"/>
      <c r="L898" s="325"/>
      <c r="M898" s="325"/>
    </row>
    <row r="899" spans="8:13" ht="15.75">
      <c r="H899" s="325"/>
      <c r="I899" s="325"/>
      <c r="J899" s="325"/>
      <c r="K899" s="329"/>
      <c r="L899" s="325"/>
      <c r="M899" s="325"/>
    </row>
    <row r="900" spans="8:13" ht="15.75">
      <c r="H900" s="325"/>
      <c r="I900" s="325"/>
      <c r="J900" s="325"/>
      <c r="K900" s="329"/>
      <c r="L900" s="325"/>
      <c r="M900" s="325"/>
    </row>
    <row r="901" spans="8:13" ht="15.75">
      <c r="H901" s="325"/>
      <c r="I901" s="325"/>
      <c r="J901" s="325"/>
      <c r="K901" s="329"/>
      <c r="L901" s="325"/>
      <c r="M901" s="325"/>
    </row>
    <row r="902" spans="8:13" ht="15.75">
      <c r="H902" s="325"/>
      <c r="I902" s="325"/>
      <c r="J902" s="325"/>
      <c r="K902" s="329"/>
      <c r="L902" s="325"/>
      <c r="M902" s="325"/>
    </row>
    <row r="903" spans="8:13" ht="15.75">
      <c r="H903" s="325"/>
      <c r="I903" s="325"/>
      <c r="J903" s="325"/>
      <c r="K903" s="329"/>
      <c r="L903" s="325"/>
      <c r="M903" s="325"/>
    </row>
    <row r="904" spans="8:13" ht="15.75">
      <c r="H904" s="325"/>
      <c r="I904" s="325"/>
      <c r="J904" s="325"/>
      <c r="K904" s="329"/>
      <c r="L904" s="325"/>
      <c r="M904" s="325"/>
    </row>
    <row r="905" spans="8:13" ht="15.75">
      <c r="H905" s="325"/>
      <c r="I905" s="325"/>
      <c r="J905" s="325"/>
      <c r="K905" s="329"/>
      <c r="L905" s="325"/>
      <c r="M905" s="325"/>
    </row>
    <row r="906" spans="8:13" ht="15.75">
      <c r="H906" s="325"/>
      <c r="I906" s="325"/>
      <c r="J906" s="325"/>
      <c r="K906" s="329"/>
      <c r="L906" s="325"/>
      <c r="M906" s="325"/>
    </row>
    <row r="907" spans="8:13" ht="15.75">
      <c r="H907" s="325"/>
      <c r="I907" s="325"/>
      <c r="J907" s="325"/>
      <c r="K907" s="329"/>
      <c r="L907" s="325"/>
      <c r="M907" s="325"/>
    </row>
    <row r="908" spans="8:13" ht="15.75">
      <c r="H908" s="325"/>
      <c r="I908" s="325"/>
      <c r="J908" s="325"/>
      <c r="K908" s="329"/>
      <c r="L908" s="325"/>
      <c r="M908" s="325"/>
    </row>
    <row r="909" spans="8:13" ht="15.75">
      <c r="H909" s="325"/>
      <c r="I909" s="325"/>
      <c r="J909" s="325"/>
      <c r="K909" s="329"/>
      <c r="L909" s="325"/>
      <c r="M909" s="325"/>
    </row>
    <row r="910" spans="8:13" ht="15.75">
      <c r="H910" s="325"/>
      <c r="I910" s="325"/>
      <c r="J910" s="325"/>
      <c r="K910" s="329"/>
      <c r="L910" s="325"/>
      <c r="M910" s="325"/>
    </row>
    <row r="911" spans="8:13" ht="15.75">
      <c r="H911" s="325"/>
      <c r="I911" s="325"/>
      <c r="J911" s="325"/>
      <c r="K911" s="329"/>
      <c r="L911" s="325"/>
      <c r="M911" s="325"/>
    </row>
    <row r="912" spans="8:13" ht="15.75">
      <c r="H912" s="325"/>
      <c r="I912" s="325"/>
      <c r="J912" s="325"/>
      <c r="K912" s="329"/>
      <c r="L912" s="325"/>
      <c r="M912" s="325"/>
    </row>
    <row r="913" spans="8:13" ht="15.75">
      <c r="H913" s="325"/>
      <c r="I913" s="325"/>
      <c r="J913" s="325"/>
      <c r="K913" s="329"/>
      <c r="L913" s="325"/>
      <c r="M913" s="325"/>
    </row>
    <row r="914" spans="8:13" ht="15.75">
      <c r="H914" s="325"/>
      <c r="I914" s="325"/>
      <c r="J914" s="325"/>
      <c r="K914" s="329"/>
      <c r="L914" s="325"/>
      <c r="M914" s="325"/>
    </row>
    <row r="915" spans="8:13" ht="15.75">
      <c r="H915" s="325"/>
      <c r="I915" s="325"/>
      <c r="J915" s="325"/>
      <c r="K915" s="329"/>
      <c r="L915" s="325"/>
      <c r="M915" s="325"/>
    </row>
    <row r="916" spans="8:13" ht="15.75">
      <c r="H916" s="325"/>
      <c r="I916" s="325"/>
      <c r="J916" s="325"/>
      <c r="K916" s="329"/>
      <c r="L916" s="325"/>
      <c r="M916" s="325"/>
    </row>
    <row r="917" spans="8:13" ht="15.75">
      <c r="H917" s="325"/>
      <c r="I917" s="325"/>
      <c r="J917" s="325"/>
      <c r="K917" s="329"/>
      <c r="L917" s="325"/>
      <c r="M917" s="325"/>
    </row>
    <row r="918" spans="8:13" ht="15.75">
      <c r="H918" s="325"/>
      <c r="I918" s="325"/>
      <c r="J918" s="325"/>
      <c r="K918" s="329"/>
      <c r="L918" s="325"/>
      <c r="M918" s="325"/>
    </row>
    <row r="919" spans="8:13" ht="15.75">
      <c r="H919" s="325"/>
      <c r="I919" s="325"/>
      <c r="J919" s="325"/>
      <c r="K919" s="329"/>
      <c r="L919" s="325"/>
      <c r="M919" s="325"/>
    </row>
    <row r="920" spans="8:13" ht="15.75">
      <c r="H920" s="325"/>
      <c r="I920" s="325"/>
      <c r="J920" s="325"/>
      <c r="K920" s="329"/>
      <c r="L920" s="325"/>
      <c r="M920" s="325"/>
    </row>
    <row r="921" spans="8:13" ht="15.75">
      <c r="H921" s="325"/>
      <c r="I921" s="325"/>
      <c r="J921" s="325"/>
      <c r="K921" s="329"/>
      <c r="L921" s="325"/>
      <c r="M921" s="325"/>
    </row>
    <row r="922" spans="8:13" ht="15.75">
      <c r="H922" s="325"/>
      <c r="I922" s="325"/>
      <c r="J922" s="325"/>
      <c r="K922" s="329"/>
      <c r="L922" s="325"/>
      <c r="M922" s="325"/>
    </row>
    <row r="923" spans="8:13" ht="15.75">
      <c r="H923" s="325"/>
      <c r="I923" s="325"/>
      <c r="J923" s="325"/>
      <c r="K923" s="329"/>
      <c r="L923" s="325"/>
      <c r="M923" s="325"/>
    </row>
    <row r="924" spans="8:13" ht="15.75">
      <c r="H924" s="325"/>
      <c r="I924" s="325"/>
      <c r="J924" s="325"/>
      <c r="K924" s="329"/>
      <c r="L924" s="325"/>
      <c r="M924" s="325"/>
    </row>
    <row r="925" spans="8:13" ht="15.75">
      <c r="H925" s="325"/>
      <c r="I925" s="325"/>
      <c r="J925" s="325"/>
      <c r="K925" s="329"/>
      <c r="L925" s="325"/>
      <c r="M925" s="325"/>
    </row>
    <row r="926" spans="8:13" ht="15.75">
      <c r="H926" s="325"/>
      <c r="I926" s="325"/>
      <c r="J926" s="325"/>
      <c r="K926" s="329"/>
      <c r="L926" s="325"/>
      <c r="M926" s="325"/>
    </row>
    <row r="927" spans="8:13" ht="15.75">
      <c r="H927" s="325"/>
      <c r="I927" s="325"/>
      <c r="J927" s="325"/>
      <c r="K927" s="329"/>
      <c r="L927" s="325"/>
      <c r="M927" s="325"/>
    </row>
    <row r="928" spans="8:13" ht="15.75">
      <c r="H928" s="325"/>
      <c r="I928" s="325"/>
      <c r="J928" s="325"/>
      <c r="K928" s="329"/>
      <c r="L928" s="325"/>
      <c r="M928" s="325"/>
    </row>
    <row r="929" spans="8:13" ht="15.75">
      <c r="H929" s="325"/>
      <c r="I929" s="325"/>
      <c r="J929" s="325"/>
      <c r="K929" s="329"/>
      <c r="L929" s="325"/>
      <c r="M929" s="325"/>
    </row>
    <row r="930" spans="8:13" ht="15.75">
      <c r="H930" s="325"/>
      <c r="I930" s="325"/>
      <c r="J930" s="325"/>
      <c r="K930" s="329"/>
      <c r="L930" s="325"/>
      <c r="M930" s="325"/>
    </row>
    <row r="931" spans="8:13" ht="15.75">
      <c r="H931" s="325"/>
      <c r="I931" s="325"/>
      <c r="J931" s="325"/>
      <c r="K931" s="329"/>
      <c r="L931" s="325"/>
      <c r="M931" s="325"/>
    </row>
    <row r="932" spans="8:13" ht="15.75">
      <c r="H932" s="325"/>
      <c r="I932" s="325"/>
      <c r="J932" s="325"/>
      <c r="K932" s="329"/>
      <c r="L932" s="325"/>
      <c r="M932" s="325"/>
    </row>
    <row r="933" spans="8:13" ht="15.75">
      <c r="H933" s="325"/>
      <c r="I933" s="325"/>
      <c r="J933" s="325"/>
      <c r="K933" s="329"/>
      <c r="L933" s="325"/>
      <c r="M933" s="325"/>
    </row>
    <row r="934" spans="8:13" ht="15.75">
      <c r="H934" s="325"/>
      <c r="I934" s="325"/>
      <c r="J934" s="325"/>
      <c r="K934" s="329"/>
      <c r="L934" s="325"/>
      <c r="M934" s="325"/>
    </row>
    <row r="935" spans="8:13" ht="15.75">
      <c r="H935" s="325"/>
      <c r="I935" s="325"/>
      <c r="J935" s="325"/>
      <c r="K935" s="329"/>
      <c r="L935" s="325"/>
      <c r="M935" s="325"/>
    </row>
    <row r="936" spans="8:13" ht="15.75">
      <c r="H936" s="325"/>
      <c r="I936" s="325"/>
      <c r="J936" s="325"/>
      <c r="K936" s="329"/>
      <c r="L936" s="325"/>
      <c r="M936" s="325"/>
    </row>
    <row r="937" spans="8:13" ht="15.75">
      <c r="H937" s="325"/>
      <c r="I937" s="325"/>
      <c r="J937" s="325"/>
      <c r="K937" s="329"/>
      <c r="L937" s="325"/>
      <c r="M937" s="325"/>
    </row>
    <row r="938" spans="8:13" ht="15.75">
      <c r="H938" s="325"/>
      <c r="I938" s="325"/>
      <c r="J938" s="325"/>
      <c r="K938" s="329"/>
      <c r="L938" s="325"/>
      <c r="M938" s="325"/>
    </row>
    <row r="939" spans="8:13" ht="15.75">
      <c r="H939" s="325"/>
      <c r="I939" s="325"/>
      <c r="J939" s="325"/>
      <c r="K939" s="329"/>
      <c r="L939" s="325"/>
      <c r="M939" s="325"/>
    </row>
    <row r="940" spans="8:13" ht="15.75">
      <c r="H940" s="325"/>
      <c r="I940" s="325"/>
      <c r="J940" s="325"/>
      <c r="K940" s="329"/>
      <c r="L940" s="325"/>
      <c r="M940" s="325"/>
    </row>
    <row r="941" spans="8:13" ht="15.75">
      <c r="H941" s="325"/>
      <c r="I941" s="325"/>
      <c r="J941" s="325"/>
      <c r="K941" s="329"/>
      <c r="L941" s="325"/>
      <c r="M941" s="325"/>
    </row>
    <row r="942" spans="8:13" ht="15.75">
      <c r="H942" s="325"/>
      <c r="I942" s="325"/>
      <c r="J942" s="325"/>
      <c r="K942" s="329"/>
      <c r="L942" s="325"/>
      <c r="M942" s="325"/>
    </row>
    <row r="943" spans="8:13" ht="15.75">
      <c r="H943" s="325"/>
      <c r="I943" s="325"/>
      <c r="J943" s="325"/>
      <c r="K943" s="329"/>
      <c r="L943" s="325"/>
      <c r="M943" s="325"/>
    </row>
    <row r="944" spans="8:13" ht="15.75">
      <c r="H944" s="325"/>
      <c r="I944" s="325"/>
      <c r="J944" s="325"/>
      <c r="K944" s="329"/>
      <c r="L944" s="325"/>
      <c r="M944" s="325"/>
    </row>
    <row r="945" spans="8:13" ht="15.75">
      <c r="H945" s="325"/>
      <c r="I945" s="325"/>
      <c r="J945" s="325"/>
      <c r="K945" s="329"/>
      <c r="L945" s="325"/>
      <c r="M945" s="325"/>
    </row>
    <row r="946" spans="8:13" ht="15.75">
      <c r="H946" s="325"/>
      <c r="I946" s="325"/>
      <c r="J946" s="325"/>
      <c r="K946" s="329"/>
      <c r="L946" s="325"/>
      <c r="M946" s="325"/>
    </row>
    <row r="947" spans="8:13" ht="15.75">
      <c r="H947" s="325"/>
      <c r="I947" s="325"/>
      <c r="J947" s="325"/>
      <c r="K947" s="329"/>
      <c r="L947" s="325"/>
      <c r="M947" s="325"/>
    </row>
    <row r="948" spans="8:13" ht="15.75">
      <c r="H948" s="325"/>
      <c r="I948" s="325"/>
      <c r="J948" s="325"/>
      <c r="K948" s="329"/>
      <c r="L948" s="325"/>
      <c r="M948" s="325"/>
    </row>
    <row r="949" spans="8:13" ht="15.75">
      <c r="H949" s="325"/>
      <c r="I949" s="325"/>
      <c r="J949" s="325"/>
      <c r="K949" s="329"/>
      <c r="L949" s="325"/>
      <c r="M949" s="325"/>
    </row>
    <row r="950" spans="8:13" ht="15.75">
      <c r="H950" s="325"/>
      <c r="I950" s="325"/>
      <c r="J950" s="325"/>
      <c r="K950" s="329"/>
      <c r="L950" s="325"/>
      <c r="M950" s="325"/>
    </row>
    <row r="951" spans="8:13" ht="15.75">
      <c r="H951" s="325"/>
      <c r="I951" s="325"/>
      <c r="J951" s="325"/>
      <c r="K951" s="329"/>
      <c r="L951" s="325"/>
      <c r="M951" s="325"/>
    </row>
    <row r="952" spans="8:13" ht="15.75">
      <c r="H952" s="325"/>
      <c r="I952" s="325"/>
      <c r="J952" s="325"/>
      <c r="K952" s="329"/>
      <c r="L952" s="325"/>
      <c r="M952" s="325"/>
    </row>
    <row r="953" spans="8:13" ht="15.75">
      <c r="H953" s="325"/>
      <c r="I953" s="325"/>
      <c r="J953" s="325"/>
      <c r="K953" s="329"/>
      <c r="L953" s="325"/>
      <c r="M953" s="325"/>
    </row>
    <row r="954" spans="8:13" ht="15.75">
      <c r="H954" s="325"/>
      <c r="I954" s="325"/>
      <c r="J954" s="325"/>
      <c r="K954" s="329"/>
      <c r="L954" s="325"/>
      <c r="M954" s="325"/>
    </row>
    <row r="955" spans="8:13" ht="15.75">
      <c r="H955" s="325"/>
      <c r="I955" s="325"/>
      <c r="J955" s="325"/>
      <c r="K955" s="329"/>
      <c r="L955" s="325"/>
      <c r="M955" s="325"/>
    </row>
    <row r="956" spans="8:13" ht="15.75">
      <c r="H956" s="325"/>
      <c r="I956" s="325"/>
      <c r="J956" s="325"/>
      <c r="K956" s="329"/>
      <c r="L956" s="325"/>
      <c r="M956" s="325"/>
    </row>
    <row r="957" spans="8:13" ht="15.75">
      <c r="H957" s="325"/>
      <c r="I957" s="325"/>
      <c r="J957" s="325"/>
      <c r="K957" s="329"/>
      <c r="L957" s="325"/>
      <c r="M957" s="325"/>
    </row>
    <row r="958" spans="8:13" ht="15.75">
      <c r="H958" s="325"/>
      <c r="I958" s="325"/>
      <c r="J958" s="325"/>
      <c r="K958" s="329"/>
      <c r="L958" s="325"/>
      <c r="M958" s="325"/>
    </row>
    <row r="959" spans="8:13" ht="15.75">
      <c r="H959" s="325"/>
      <c r="I959" s="325"/>
      <c r="J959" s="325"/>
      <c r="K959" s="329"/>
      <c r="L959" s="325"/>
      <c r="M959" s="325"/>
    </row>
    <row r="960" spans="8:13" ht="15.75">
      <c r="H960" s="325"/>
      <c r="I960" s="325"/>
      <c r="J960" s="325"/>
      <c r="K960" s="329"/>
      <c r="L960" s="325"/>
      <c r="M960" s="325"/>
    </row>
    <row r="961" spans="8:13" ht="15.75">
      <c r="H961" s="325"/>
      <c r="I961" s="325"/>
      <c r="J961" s="325"/>
      <c r="K961" s="329"/>
      <c r="L961" s="325"/>
      <c r="M961" s="325"/>
    </row>
    <row r="962" spans="8:13" ht="15.75">
      <c r="H962" s="325"/>
      <c r="I962" s="325"/>
      <c r="J962" s="325"/>
      <c r="K962" s="329"/>
      <c r="L962" s="325"/>
      <c r="M962" s="325"/>
    </row>
    <row r="963" spans="8:13" ht="15.75">
      <c r="H963" s="325"/>
      <c r="I963" s="325"/>
      <c r="J963" s="325"/>
      <c r="K963" s="329"/>
      <c r="L963" s="325"/>
      <c r="M963" s="325"/>
    </row>
    <row r="964" spans="8:13" ht="15.75">
      <c r="H964" s="325"/>
      <c r="I964" s="325"/>
      <c r="J964" s="325"/>
      <c r="K964" s="329"/>
      <c r="L964" s="325"/>
      <c r="M964" s="325"/>
    </row>
    <row r="965" spans="8:13" ht="15.75">
      <c r="H965" s="325"/>
      <c r="I965" s="325"/>
      <c r="J965" s="325"/>
      <c r="K965" s="329"/>
      <c r="L965" s="325"/>
      <c r="M965" s="325"/>
    </row>
    <row r="966" spans="8:13" ht="15.75">
      <c r="H966" s="325"/>
      <c r="I966" s="325"/>
      <c r="J966" s="325"/>
      <c r="K966" s="329"/>
      <c r="L966" s="325"/>
      <c r="M966" s="325"/>
    </row>
    <row r="967" spans="8:13" ht="15.75">
      <c r="H967" s="325"/>
      <c r="I967" s="325"/>
      <c r="J967" s="325"/>
      <c r="K967" s="329"/>
      <c r="L967" s="325"/>
      <c r="M967" s="325"/>
    </row>
    <row r="968" spans="8:13" ht="15.75">
      <c r="H968" s="325"/>
      <c r="I968" s="325"/>
      <c r="J968" s="325"/>
      <c r="K968" s="329"/>
      <c r="L968" s="325"/>
      <c r="M968" s="325"/>
    </row>
    <row r="969" spans="8:13" ht="15.75">
      <c r="H969" s="325"/>
      <c r="I969" s="325"/>
      <c r="J969" s="325"/>
      <c r="K969" s="329"/>
      <c r="L969" s="325"/>
      <c r="M969" s="325"/>
    </row>
    <row r="970" spans="8:13" ht="15.75">
      <c r="H970" s="325"/>
      <c r="I970" s="325"/>
      <c r="J970" s="325"/>
      <c r="K970" s="329"/>
      <c r="L970" s="325"/>
      <c r="M970" s="325"/>
    </row>
    <row r="971" spans="8:13" ht="15.75">
      <c r="H971" s="325"/>
      <c r="I971" s="325"/>
      <c r="J971" s="325"/>
      <c r="K971" s="329"/>
      <c r="L971" s="325"/>
      <c r="M971" s="325"/>
    </row>
    <row r="972" spans="8:13" ht="15.75">
      <c r="H972" s="325"/>
      <c r="I972" s="325"/>
      <c r="J972" s="325"/>
      <c r="K972" s="329"/>
      <c r="L972" s="325"/>
      <c r="M972" s="325"/>
    </row>
    <row r="973" spans="8:13" ht="15.75">
      <c r="H973" s="325"/>
      <c r="I973" s="325"/>
      <c r="J973" s="325"/>
      <c r="K973" s="329"/>
      <c r="L973" s="325"/>
      <c r="M973" s="325"/>
    </row>
    <row r="974" spans="8:13" ht="15.75">
      <c r="H974" s="325"/>
      <c r="I974" s="325"/>
      <c r="J974" s="325"/>
      <c r="K974" s="329"/>
      <c r="L974" s="325"/>
      <c r="M974" s="325"/>
    </row>
    <row r="975" spans="8:13" ht="15.75">
      <c r="H975" s="325"/>
      <c r="I975" s="325"/>
      <c r="J975" s="325"/>
      <c r="K975" s="329"/>
      <c r="L975" s="325"/>
      <c r="M975" s="325"/>
    </row>
    <row r="976" spans="8:13" ht="15.75">
      <c r="H976" s="325"/>
      <c r="I976" s="325"/>
      <c r="J976" s="325"/>
      <c r="K976" s="329"/>
      <c r="L976" s="325"/>
      <c r="M976" s="325"/>
    </row>
    <row r="977" spans="8:13" ht="15.75">
      <c r="H977" s="325"/>
      <c r="I977" s="325"/>
      <c r="J977" s="325"/>
      <c r="K977" s="329"/>
      <c r="L977" s="325"/>
      <c r="M977" s="325"/>
    </row>
    <row r="978" spans="8:13" ht="15.75">
      <c r="H978" s="325"/>
      <c r="I978" s="325"/>
      <c r="J978" s="325"/>
      <c r="K978" s="329"/>
      <c r="L978" s="325"/>
      <c r="M978" s="325"/>
    </row>
    <row r="979" spans="8:13" ht="15.75">
      <c r="H979" s="325"/>
      <c r="I979" s="325"/>
      <c r="J979" s="325"/>
      <c r="K979" s="329"/>
      <c r="L979" s="325"/>
      <c r="M979" s="325"/>
    </row>
    <row r="980" spans="8:13" ht="15.75">
      <c r="H980" s="325"/>
      <c r="I980" s="325"/>
      <c r="J980" s="325"/>
      <c r="K980" s="329"/>
      <c r="L980" s="325"/>
      <c r="M980" s="325"/>
    </row>
    <row r="981" spans="8:13" ht="15.75">
      <c r="H981" s="325"/>
      <c r="I981" s="325"/>
      <c r="J981" s="325"/>
      <c r="K981" s="329"/>
      <c r="L981" s="325"/>
      <c r="M981" s="325"/>
    </row>
    <row r="982" spans="8:13" ht="15.75">
      <c r="H982" s="325"/>
      <c r="I982" s="325"/>
      <c r="J982" s="325"/>
      <c r="K982" s="329"/>
      <c r="L982" s="325"/>
      <c r="M982" s="325"/>
    </row>
    <row r="983" spans="8:13" ht="15.75">
      <c r="H983" s="325"/>
      <c r="I983" s="325"/>
      <c r="J983" s="325"/>
      <c r="K983" s="329"/>
      <c r="L983" s="325"/>
      <c r="M983" s="325"/>
    </row>
    <row r="984" spans="8:13" ht="15.75">
      <c r="H984" s="325"/>
      <c r="I984" s="325"/>
      <c r="J984" s="325"/>
      <c r="K984" s="329"/>
      <c r="L984" s="325"/>
      <c r="M984" s="325"/>
    </row>
    <row r="985" spans="8:13" ht="15.75">
      <c r="H985" s="325"/>
      <c r="I985" s="325"/>
      <c r="J985" s="325"/>
      <c r="K985" s="329"/>
      <c r="L985" s="325"/>
      <c r="M985" s="325"/>
    </row>
    <row r="986" spans="8:13" ht="15.75">
      <c r="H986" s="325"/>
      <c r="I986" s="325"/>
      <c r="J986" s="325"/>
      <c r="K986" s="329"/>
      <c r="L986" s="325"/>
      <c r="M986" s="325"/>
    </row>
    <row r="987" spans="8:13" ht="15.75">
      <c r="H987" s="325"/>
      <c r="I987" s="325"/>
      <c r="J987" s="325"/>
      <c r="K987" s="329"/>
      <c r="L987" s="325"/>
      <c r="M987" s="325"/>
    </row>
    <row r="988" spans="8:13" ht="15.75">
      <c r="H988" s="325"/>
      <c r="I988" s="325"/>
      <c r="J988" s="325"/>
      <c r="K988" s="329"/>
      <c r="L988" s="325"/>
      <c r="M988" s="325"/>
    </row>
    <row r="989" spans="8:13" ht="15.75">
      <c r="H989" s="325"/>
      <c r="I989" s="325"/>
      <c r="J989" s="325"/>
      <c r="K989" s="329"/>
      <c r="L989" s="325"/>
      <c r="M989" s="325"/>
    </row>
    <row r="990" spans="8:13" ht="15.75">
      <c r="H990" s="325"/>
      <c r="I990" s="325"/>
      <c r="J990" s="325"/>
      <c r="K990" s="329"/>
      <c r="L990" s="325"/>
      <c r="M990" s="325"/>
    </row>
    <row r="991" spans="8:13" ht="15.75">
      <c r="H991" s="325"/>
      <c r="I991" s="325"/>
      <c r="J991" s="325"/>
      <c r="K991" s="329"/>
      <c r="L991" s="325"/>
      <c r="M991" s="325"/>
    </row>
    <row r="992" spans="8:13" ht="15.75">
      <c r="H992" s="325"/>
      <c r="I992" s="325"/>
      <c r="J992" s="325"/>
      <c r="K992" s="329"/>
      <c r="L992" s="325"/>
      <c r="M992" s="325"/>
    </row>
    <row r="993" spans="8:13" ht="15.75">
      <c r="H993" s="325"/>
      <c r="I993" s="325"/>
      <c r="J993" s="325"/>
      <c r="K993" s="329"/>
      <c r="L993" s="325"/>
      <c r="M993" s="325"/>
    </row>
    <row r="994" spans="8:13" ht="15.75">
      <c r="H994" s="325"/>
      <c r="I994" s="325"/>
      <c r="J994" s="325"/>
      <c r="K994" s="329"/>
      <c r="L994" s="325"/>
      <c r="M994" s="325"/>
    </row>
    <row r="995" spans="8:13" ht="15.75">
      <c r="H995" s="325"/>
      <c r="I995" s="325"/>
      <c r="J995" s="325"/>
      <c r="K995" s="329"/>
      <c r="L995" s="325"/>
      <c r="M995" s="325"/>
    </row>
    <row r="996" spans="8:13" ht="15.75">
      <c r="H996" s="325"/>
      <c r="I996" s="325"/>
      <c r="J996" s="325"/>
      <c r="K996" s="329"/>
      <c r="L996" s="325"/>
      <c r="M996" s="325"/>
    </row>
    <row r="997" spans="8:13" ht="15.75">
      <c r="H997" s="325"/>
      <c r="I997" s="325"/>
      <c r="J997" s="325"/>
      <c r="K997" s="329"/>
      <c r="L997" s="325"/>
      <c r="M997" s="325"/>
    </row>
    <row r="998" spans="8:13" ht="15.75">
      <c r="H998" s="325"/>
      <c r="I998" s="325"/>
      <c r="J998" s="325"/>
      <c r="K998" s="329"/>
      <c r="L998" s="325"/>
      <c r="M998" s="325"/>
    </row>
    <row r="999" spans="8:13" ht="15.75">
      <c r="H999" s="325"/>
      <c r="I999" s="325"/>
      <c r="J999" s="325"/>
      <c r="K999" s="329"/>
      <c r="L999" s="325"/>
      <c r="M999" s="325"/>
    </row>
    <row r="1000" spans="8:13" ht="15.75">
      <c r="H1000" s="325"/>
      <c r="I1000" s="325"/>
      <c r="J1000" s="325"/>
      <c r="K1000" s="329"/>
      <c r="L1000" s="325"/>
      <c r="M1000" s="325"/>
    </row>
    <row r="1001" spans="8:13" ht="15.75">
      <c r="H1001" s="325"/>
      <c r="I1001" s="325"/>
      <c r="J1001" s="325"/>
      <c r="K1001" s="329"/>
      <c r="L1001" s="325"/>
      <c r="M1001" s="325"/>
    </row>
    <row r="1002" spans="8:13" ht="15.75">
      <c r="H1002" s="325"/>
      <c r="I1002" s="325"/>
      <c r="J1002" s="325"/>
      <c r="K1002" s="329"/>
      <c r="L1002" s="325"/>
      <c r="M1002" s="325"/>
    </row>
    <row r="1003" spans="8:13" ht="15.75">
      <c r="H1003" s="325"/>
      <c r="I1003" s="325"/>
      <c r="J1003" s="325"/>
      <c r="K1003" s="329"/>
      <c r="L1003" s="325"/>
      <c r="M1003" s="325"/>
    </row>
    <row r="1004" spans="8:13" ht="15.75">
      <c r="H1004" s="325"/>
      <c r="I1004" s="325"/>
      <c r="J1004" s="325"/>
      <c r="K1004" s="329"/>
      <c r="L1004" s="325"/>
      <c r="M1004" s="325"/>
    </row>
    <row r="1005" spans="8:13" ht="15.75">
      <c r="H1005" s="325"/>
      <c r="I1005" s="325"/>
      <c r="J1005" s="325"/>
      <c r="K1005" s="329"/>
      <c r="L1005" s="325"/>
      <c r="M1005" s="325"/>
    </row>
    <row r="1006" spans="8:13" ht="15.75">
      <c r="H1006" s="325"/>
      <c r="I1006" s="325"/>
      <c r="J1006" s="325"/>
      <c r="K1006" s="329"/>
      <c r="L1006" s="325"/>
      <c r="M1006" s="325"/>
    </row>
    <row r="1007" spans="8:13" ht="15.75">
      <c r="H1007" s="325"/>
      <c r="I1007" s="325"/>
      <c r="J1007" s="325"/>
      <c r="K1007" s="329"/>
      <c r="L1007" s="325"/>
      <c r="M1007" s="325"/>
    </row>
    <row r="1008" spans="8:13" ht="15.75">
      <c r="H1008" s="325"/>
      <c r="I1008" s="325"/>
      <c r="J1008" s="325"/>
      <c r="K1008" s="329"/>
      <c r="L1008" s="325"/>
      <c r="M1008" s="325"/>
    </row>
    <row r="1009" spans="8:13" ht="15.75">
      <c r="H1009" s="325"/>
      <c r="I1009" s="325"/>
      <c r="J1009" s="325"/>
      <c r="K1009" s="329"/>
      <c r="L1009" s="325"/>
      <c r="M1009" s="325"/>
    </row>
    <row r="1010" spans="8:13" ht="15.75">
      <c r="H1010" s="325"/>
      <c r="I1010" s="325"/>
      <c r="J1010" s="325"/>
      <c r="K1010" s="329"/>
      <c r="L1010" s="325"/>
      <c r="M1010" s="325"/>
    </row>
    <row r="1011" spans="8:13" ht="15.75">
      <c r="H1011" s="325"/>
      <c r="I1011" s="325"/>
      <c r="J1011" s="325"/>
      <c r="K1011" s="329"/>
      <c r="L1011" s="325"/>
      <c r="M1011" s="325"/>
    </row>
    <row r="1012" spans="8:13" ht="15.75">
      <c r="H1012" s="325"/>
      <c r="I1012" s="325"/>
      <c r="J1012" s="325"/>
      <c r="K1012" s="329"/>
      <c r="L1012" s="325"/>
      <c r="M1012" s="325"/>
    </row>
    <row r="1013" spans="8:13" ht="15.75">
      <c r="H1013" s="325"/>
      <c r="I1013" s="325"/>
      <c r="J1013" s="325"/>
      <c r="K1013" s="329"/>
      <c r="L1013" s="325"/>
      <c r="M1013" s="325"/>
    </row>
    <row r="1014" spans="8:13" ht="15.75">
      <c r="H1014" s="325"/>
      <c r="I1014" s="325"/>
      <c r="J1014" s="325"/>
      <c r="K1014" s="329"/>
      <c r="L1014" s="325"/>
      <c r="M1014" s="325"/>
    </row>
    <row r="1015" spans="8:13" ht="15.75">
      <c r="H1015" s="325"/>
      <c r="I1015" s="325"/>
      <c r="J1015" s="325"/>
      <c r="K1015" s="329"/>
      <c r="L1015" s="325"/>
      <c r="M1015" s="325"/>
    </row>
    <row r="1016" spans="8:13" ht="15.75">
      <c r="H1016" s="325"/>
      <c r="I1016" s="325"/>
      <c r="J1016" s="325"/>
      <c r="K1016" s="329"/>
      <c r="L1016" s="325"/>
      <c r="M1016" s="325"/>
    </row>
    <row r="1017" spans="8:13" ht="15.75">
      <c r="H1017" s="325"/>
      <c r="I1017" s="325"/>
      <c r="J1017" s="325"/>
      <c r="K1017" s="329"/>
      <c r="L1017" s="325"/>
      <c r="M1017" s="325"/>
    </row>
    <row r="1018" spans="8:13" ht="15.75">
      <c r="H1018" s="325"/>
      <c r="I1018" s="325"/>
      <c r="J1018" s="325"/>
      <c r="K1018" s="329"/>
      <c r="L1018" s="325"/>
      <c r="M1018" s="325"/>
    </row>
    <row r="1019" spans="8:13" ht="15.75">
      <c r="H1019" s="325"/>
      <c r="I1019" s="325"/>
      <c r="J1019" s="325"/>
      <c r="K1019" s="329"/>
      <c r="L1019" s="325"/>
      <c r="M1019" s="325"/>
    </row>
    <row r="1020" spans="8:13" ht="15.75">
      <c r="H1020" s="325"/>
      <c r="I1020" s="325"/>
      <c r="J1020" s="325"/>
      <c r="K1020" s="329"/>
      <c r="L1020" s="325"/>
      <c r="M1020" s="325"/>
    </row>
    <row r="1021" spans="8:13" ht="15.75">
      <c r="H1021" s="325"/>
      <c r="I1021" s="325"/>
      <c r="J1021" s="325"/>
      <c r="K1021" s="329"/>
      <c r="L1021" s="325"/>
      <c r="M1021" s="325"/>
    </row>
    <row r="1022" spans="8:13" ht="15.75">
      <c r="H1022" s="325"/>
      <c r="I1022" s="325"/>
      <c r="J1022" s="325"/>
      <c r="K1022" s="329"/>
      <c r="L1022" s="325"/>
      <c r="M1022" s="325"/>
    </row>
    <row r="1023" spans="8:13" ht="15.75">
      <c r="H1023" s="325"/>
      <c r="I1023" s="325"/>
      <c r="J1023" s="325"/>
      <c r="K1023" s="329"/>
      <c r="L1023" s="325"/>
      <c r="M1023" s="325"/>
    </row>
    <row r="1024" spans="8:13" ht="15.75">
      <c r="H1024" s="325"/>
      <c r="I1024" s="325"/>
      <c r="J1024" s="325"/>
      <c r="K1024" s="329"/>
      <c r="L1024" s="325"/>
      <c r="M1024" s="325"/>
    </row>
    <row r="1025" spans="8:13" ht="15.75">
      <c r="H1025" s="325"/>
      <c r="I1025" s="325"/>
      <c r="J1025" s="325"/>
      <c r="K1025" s="329"/>
      <c r="L1025" s="325"/>
      <c r="M1025" s="325"/>
    </row>
    <row r="1026" spans="8:13" ht="15.75">
      <c r="H1026" s="325"/>
      <c r="I1026" s="325"/>
      <c r="J1026" s="325"/>
      <c r="K1026" s="329"/>
      <c r="L1026" s="325"/>
      <c r="M1026" s="325"/>
    </row>
    <row r="1027" spans="8:13" ht="15.75">
      <c r="H1027" s="325"/>
      <c r="I1027" s="325"/>
      <c r="J1027" s="325"/>
      <c r="K1027" s="329"/>
      <c r="L1027" s="325"/>
      <c r="M1027" s="325"/>
    </row>
    <row r="1028" spans="8:13" ht="15.75">
      <c r="H1028" s="325"/>
      <c r="I1028" s="325"/>
      <c r="J1028" s="325"/>
      <c r="K1028" s="329"/>
      <c r="L1028" s="325"/>
      <c r="M1028" s="325"/>
    </row>
    <row r="1029" spans="8:13" ht="15.75">
      <c r="H1029" s="325"/>
      <c r="I1029" s="325"/>
      <c r="J1029" s="325"/>
      <c r="K1029" s="329"/>
      <c r="L1029" s="325"/>
      <c r="M1029" s="325"/>
    </row>
    <row r="1030" spans="8:13" ht="15.75">
      <c r="H1030" s="325"/>
      <c r="I1030" s="325"/>
      <c r="J1030" s="325"/>
      <c r="K1030" s="329"/>
      <c r="L1030" s="325"/>
      <c r="M1030" s="325"/>
    </row>
    <row r="1031" spans="8:13" ht="15.75">
      <c r="H1031" s="325"/>
      <c r="I1031" s="325"/>
      <c r="J1031" s="325"/>
      <c r="K1031" s="329"/>
      <c r="L1031" s="325"/>
      <c r="M1031" s="325"/>
    </row>
    <row r="1032" spans="8:13" ht="15.75">
      <c r="H1032" s="325"/>
      <c r="I1032" s="325"/>
      <c r="J1032" s="325"/>
      <c r="K1032" s="329"/>
      <c r="L1032" s="325"/>
      <c r="M1032" s="325"/>
    </row>
    <row r="1033" spans="8:13" ht="15.75">
      <c r="H1033" s="325"/>
      <c r="I1033" s="325"/>
      <c r="J1033" s="325"/>
      <c r="K1033" s="329"/>
      <c r="L1033" s="325"/>
      <c r="M1033" s="325"/>
    </row>
    <row r="1034" spans="8:13" ht="15.75">
      <c r="H1034" s="325"/>
      <c r="I1034" s="325"/>
      <c r="J1034" s="325"/>
      <c r="K1034" s="329"/>
      <c r="L1034" s="325"/>
      <c r="M1034" s="325"/>
    </row>
    <row r="1035" spans="8:13" ht="15.75">
      <c r="H1035" s="325"/>
      <c r="I1035" s="325"/>
      <c r="J1035" s="325"/>
      <c r="K1035" s="329"/>
      <c r="L1035" s="325"/>
      <c r="M1035" s="325"/>
    </row>
    <row r="1036" spans="8:13" ht="15.75">
      <c r="H1036" s="325"/>
      <c r="I1036" s="325"/>
      <c r="J1036" s="325"/>
      <c r="K1036" s="329"/>
      <c r="L1036" s="325"/>
      <c r="M1036" s="325"/>
    </row>
    <row r="1037" spans="8:13" ht="15.75">
      <c r="H1037" s="325"/>
      <c r="I1037" s="325"/>
      <c r="J1037" s="325"/>
      <c r="K1037" s="329"/>
      <c r="L1037" s="325"/>
      <c r="M1037" s="325"/>
    </row>
    <row r="1038" spans="8:13" ht="15.75">
      <c r="H1038" s="325"/>
      <c r="I1038" s="325"/>
      <c r="J1038" s="325"/>
      <c r="K1038" s="329"/>
      <c r="L1038" s="325"/>
      <c r="M1038" s="325"/>
    </row>
    <row r="1039" spans="8:13" ht="15.75">
      <c r="H1039" s="325"/>
      <c r="I1039" s="325"/>
      <c r="J1039" s="325"/>
      <c r="K1039" s="329"/>
      <c r="L1039" s="325"/>
      <c r="M1039" s="325"/>
    </row>
    <row r="1040" spans="8:13" ht="15.75">
      <c r="H1040" s="325"/>
      <c r="I1040" s="325"/>
      <c r="J1040" s="325"/>
      <c r="K1040" s="329"/>
      <c r="L1040" s="325"/>
      <c r="M1040" s="325"/>
    </row>
    <row r="1041" spans="8:13" ht="15.75">
      <c r="H1041" s="325"/>
      <c r="I1041" s="325"/>
      <c r="J1041" s="325"/>
      <c r="K1041" s="329"/>
      <c r="L1041" s="325"/>
      <c r="M1041" s="325"/>
    </row>
    <row r="1042" spans="8:13" ht="15.75">
      <c r="H1042" s="325"/>
      <c r="I1042" s="325"/>
      <c r="J1042" s="325"/>
      <c r="K1042" s="329"/>
      <c r="L1042" s="325"/>
      <c r="M1042" s="325"/>
    </row>
    <row r="1043" spans="8:13" ht="15.75">
      <c r="H1043" s="325"/>
      <c r="I1043" s="325"/>
      <c r="J1043" s="325"/>
      <c r="K1043" s="329"/>
      <c r="L1043" s="325"/>
      <c r="M1043" s="325"/>
    </row>
    <row r="1044" spans="8:13" ht="15.75">
      <c r="H1044" s="325"/>
      <c r="I1044" s="325"/>
      <c r="J1044" s="325"/>
      <c r="K1044" s="329"/>
      <c r="L1044" s="325"/>
      <c r="M1044" s="325"/>
    </row>
    <row r="1045" spans="8:13" ht="15.75">
      <c r="H1045" s="325"/>
      <c r="I1045" s="325"/>
      <c r="J1045" s="325"/>
      <c r="K1045" s="329"/>
      <c r="L1045" s="325"/>
      <c r="M1045" s="325"/>
    </row>
    <row r="1046" spans="8:13" ht="15.75">
      <c r="H1046" s="325"/>
      <c r="I1046" s="325"/>
      <c r="J1046" s="325"/>
      <c r="K1046" s="329"/>
      <c r="L1046" s="325"/>
      <c r="M1046" s="325"/>
    </row>
    <row r="1047" spans="8:13" ht="15.75">
      <c r="H1047" s="325"/>
      <c r="I1047" s="325"/>
      <c r="J1047" s="325"/>
      <c r="K1047" s="329"/>
      <c r="L1047" s="325"/>
      <c r="M1047" s="325"/>
    </row>
    <row r="1048" spans="8:13" ht="15.75">
      <c r="H1048" s="325"/>
      <c r="I1048" s="325"/>
      <c r="J1048" s="325"/>
      <c r="K1048" s="329"/>
      <c r="L1048" s="325"/>
      <c r="M1048" s="325"/>
    </row>
    <row r="1049" spans="8:13" ht="15.75">
      <c r="H1049" s="325"/>
      <c r="I1049" s="325"/>
      <c r="J1049" s="325"/>
      <c r="K1049" s="329"/>
      <c r="L1049" s="325"/>
      <c r="M1049" s="325"/>
    </row>
    <row r="1050" spans="8:13" ht="15.75">
      <c r="H1050" s="325"/>
      <c r="I1050" s="325"/>
      <c r="J1050" s="325"/>
      <c r="K1050" s="329"/>
      <c r="L1050" s="325"/>
      <c r="M1050" s="325"/>
    </row>
    <row r="1051" spans="8:13" ht="15.75">
      <c r="H1051" s="325"/>
      <c r="I1051" s="325"/>
      <c r="J1051" s="325"/>
      <c r="K1051" s="329"/>
      <c r="L1051" s="325"/>
      <c r="M1051" s="325"/>
    </row>
    <row r="1052" spans="8:13" ht="15.75">
      <c r="H1052" s="325"/>
      <c r="I1052" s="325"/>
      <c r="J1052" s="325"/>
      <c r="K1052" s="329"/>
      <c r="L1052" s="325"/>
      <c r="M1052" s="325"/>
    </row>
    <row r="1053" spans="8:13" ht="15.75">
      <c r="H1053" s="325"/>
      <c r="I1053" s="325"/>
      <c r="J1053" s="325"/>
      <c r="K1053" s="329"/>
      <c r="L1053" s="325"/>
      <c r="M1053" s="325"/>
    </row>
    <row r="1054" spans="8:13" ht="15.75">
      <c r="H1054" s="325"/>
      <c r="I1054" s="325"/>
      <c r="J1054" s="325"/>
      <c r="K1054" s="329"/>
      <c r="L1054" s="325"/>
      <c r="M1054" s="325"/>
    </row>
    <row r="1055" spans="8:13" ht="15.75">
      <c r="H1055" s="325"/>
      <c r="I1055" s="325"/>
      <c r="J1055" s="325"/>
      <c r="K1055" s="329"/>
      <c r="L1055" s="325"/>
      <c r="M1055" s="325"/>
    </row>
    <row r="1056" spans="8:13" ht="15.75">
      <c r="H1056" s="325"/>
      <c r="I1056" s="325"/>
      <c r="J1056" s="325"/>
      <c r="K1056" s="329"/>
      <c r="L1056" s="325"/>
      <c r="M1056" s="325"/>
    </row>
    <row r="1057" spans="8:13" ht="15.75">
      <c r="H1057" s="325"/>
      <c r="I1057" s="325"/>
      <c r="J1057" s="325"/>
      <c r="K1057" s="329"/>
      <c r="L1057" s="325"/>
      <c r="M1057" s="325"/>
    </row>
    <row r="1058" spans="8:13" ht="15.75">
      <c r="H1058" s="325"/>
      <c r="I1058" s="325"/>
      <c r="J1058" s="325"/>
      <c r="K1058" s="329"/>
      <c r="L1058" s="325"/>
      <c r="M1058" s="325"/>
    </row>
    <row r="1059" spans="8:13" ht="15.75">
      <c r="H1059" s="325"/>
      <c r="I1059" s="325"/>
      <c r="J1059" s="325"/>
      <c r="K1059" s="329"/>
      <c r="L1059" s="325"/>
      <c r="M1059" s="325"/>
    </row>
    <row r="1060" spans="8:13" ht="15.75">
      <c r="H1060" s="325"/>
      <c r="I1060" s="325"/>
      <c r="J1060" s="325"/>
      <c r="K1060" s="329"/>
      <c r="L1060" s="325"/>
      <c r="M1060" s="325"/>
    </row>
    <row r="1061" spans="8:13" ht="15.75">
      <c r="H1061" s="325"/>
      <c r="I1061" s="325"/>
      <c r="J1061" s="325"/>
      <c r="K1061" s="329"/>
      <c r="L1061" s="325"/>
      <c r="M1061" s="325"/>
    </row>
    <row r="1062" spans="8:13" ht="15.75">
      <c r="H1062" s="325"/>
      <c r="I1062" s="325"/>
      <c r="J1062" s="325"/>
      <c r="K1062" s="329"/>
      <c r="L1062" s="325"/>
      <c r="M1062" s="325"/>
    </row>
    <row r="1063" spans="8:13" ht="15.75">
      <c r="H1063" s="325"/>
      <c r="I1063" s="325"/>
      <c r="J1063" s="325"/>
      <c r="K1063" s="329"/>
      <c r="L1063" s="325"/>
      <c r="M1063" s="325"/>
    </row>
    <row r="1064" spans="8:13" ht="15.75">
      <c r="H1064" s="325"/>
      <c r="I1064" s="325"/>
      <c r="J1064" s="325"/>
      <c r="K1064" s="329"/>
      <c r="L1064" s="325"/>
      <c r="M1064" s="325"/>
    </row>
    <row r="1065" spans="8:13" ht="15.75">
      <c r="H1065" s="325"/>
      <c r="I1065" s="325"/>
      <c r="J1065" s="325"/>
      <c r="K1065" s="329"/>
      <c r="L1065" s="325"/>
      <c r="M1065" s="325"/>
    </row>
    <row r="1066" spans="8:13" ht="15.75">
      <c r="H1066" s="325"/>
      <c r="I1066" s="325"/>
      <c r="J1066" s="325"/>
      <c r="K1066" s="329"/>
      <c r="L1066" s="325"/>
      <c r="M1066" s="325"/>
    </row>
    <row r="1067" spans="8:13" ht="15.75">
      <c r="H1067" s="325"/>
      <c r="I1067" s="325"/>
      <c r="J1067" s="325"/>
      <c r="K1067" s="329"/>
      <c r="L1067" s="325"/>
      <c r="M1067" s="325"/>
    </row>
    <row r="1068" spans="8:13" ht="15.75">
      <c r="H1068" s="325"/>
      <c r="I1068" s="325"/>
      <c r="J1068" s="325"/>
      <c r="K1068" s="329"/>
      <c r="L1068" s="325"/>
      <c r="M1068" s="325"/>
    </row>
    <row r="1069" spans="8:13" ht="15.75">
      <c r="H1069" s="325"/>
      <c r="I1069" s="325"/>
      <c r="J1069" s="325"/>
      <c r="K1069" s="329"/>
      <c r="L1069" s="325"/>
      <c r="M1069" s="325"/>
    </row>
    <row r="1070" spans="8:13" ht="15.75">
      <c r="H1070" s="325"/>
      <c r="I1070" s="325"/>
      <c r="J1070" s="325"/>
      <c r="K1070" s="329"/>
      <c r="L1070" s="325"/>
      <c r="M1070" s="325"/>
    </row>
    <row r="1071" spans="8:13" ht="15.75">
      <c r="H1071" s="325"/>
      <c r="I1071" s="325"/>
      <c r="J1071" s="325"/>
      <c r="K1071" s="329"/>
      <c r="L1071" s="325"/>
      <c r="M1071" s="325"/>
    </row>
    <row r="1072" spans="8:13" ht="15.75">
      <c r="H1072" s="325"/>
      <c r="I1072" s="325"/>
      <c r="J1072" s="325"/>
      <c r="K1072" s="329"/>
      <c r="L1072" s="325"/>
      <c r="M1072" s="325"/>
    </row>
    <row r="1073" spans="8:13" ht="15.75">
      <c r="H1073" s="325"/>
      <c r="I1073" s="325"/>
      <c r="J1073" s="325"/>
      <c r="K1073" s="329"/>
      <c r="L1073" s="325"/>
      <c r="M1073" s="325"/>
    </row>
    <row r="1074" spans="8:13" ht="15.75">
      <c r="H1074" s="325"/>
      <c r="I1074" s="325"/>
      <c r="J1074" s="325"/>
      <c r="K1074" s="329"/>
      <c r="L1074" s="325"/>
      <c r="M1074" s="325"/>
    </row>
    <row r="1075" spans="8:13" ht="15.75">
      <c r="H1075" s="325"/>
      <c r="I1075" s="325"/>
      <c r="J1075" s="325"/>
      <c r="K1075" s="329"/>
      <c r="L1075" s="325"/>
      <c r="M1075" s="325"/>
    </row>
    <row r="1076" spans="8:13" ht="15.75">
      <c r="H1076" s="325"/>
      <c r="I1076" s="325"/>
      <c r="J1076" s="325"/>
      <c r="K1076" s="329"/>
      <c r="L1076" s="325"/>
      <c r="M1076" s="325"/>
    </row>
    <row r="1077" spans="8:13" ht="15.75">
      <c r="H1077" s="325"/>
      <c r="I1077" s="325"/>
      <c r="J1077" s="325"/>
      <c r="K1077" s="329"/>
      <c r="L1077" s="325"/>
      <c r="M1077" s="325"/>
    </row>
    <row r="1078" spans="8:13" ht="15.75">
      <c r="H1078" s="325"/>
      <c r="I1078" s="325"/>
      <c r="J1078" s="325"/>
      <c r="K1078" s="325"/>
      <c r="L1078" s="325"/>
      <c r="M1078" s="325"/>
    </row>
    <row r="1079" spans="8:13" ht="15.75">
      <c r="H1079" s="325"/>
      <c r="I1079" s="325"/>
      <c r="J1079" s="325"/>
      <c r="K1079" s="325"/>
      <c r="L1079" s="325"/>
      <c r="M1079" s="325"/>
    </row>
    <row r="1080" spans="8:13" ht="15.75">
      <c r="H1080" s="325"/>
      <c r="I1080" s="325"/>
      <c r="J1080" s="325"/>
      <c r="K1080" s="325"/>
      <c r="L1080" s="325"/>
      <c r="M1080" s="325"/>
    </row>
    <row r="1081" spans="8:13" ht="15.75">
      <c r="H1081" s="325"/>
      <c r="I1081" s="325"/>
      <c r="J1081" s="325"/>
      <c r="K1081" s="325"/>
      <c r="L1081" s="325"/>
      <c r="M1081" s="325"/>
    </row>
    <row r="1082" spans="8:13" ht="15.75">
      <c r="H1082" s="325"/>
      <c r="I1082" s="325"/>
      <c r="J1082" s="325"/>
      <c r="K1082" s="325"/>
      <c r="L1082" s="325"/>
      <c r="M1082" s="325"/>
    </row>
    <row r="1083" spans="8:13" ht="15.75">
      <c r="H1083" s="325"/>
      <c r="I1083" s="325"/>
      <c r="J1083" s="325"/>
      <c r="K1083" s="325"/>
      <c r="L1083" s="325"/>
      <c r="M1083" s="325"/>
    </row>
    <row r="1084" spans="8:13" ht="15.75">
      <c r="H1084" s="325"/>
      <c r="I1084" s="325"/>
      <c r="J1084" s="325"/>
      <c r="K1084" s="325"/>
      <c r="L1084" s="325"/>
      <c r="M1084" s="325"/>
    </row>
    <row r="1085" spans="8:13" ht="15.75">
      <c r="H1085" s="325"/>
      <c r="I1085" s="325"/>
      <c r="J1085" s="325"/>
      <c r="K1085" s="325"/>
      <c r="L1085" s="325"/>
      <c r="M1085" s="325"/>
    </row>
    <row r="1086" spans="8:13" ht="15.75">
      <c r="H1086" s="325"/>
      <c r="I1086" s="325"/>
      <c r="J1086" s="325"/>
      <c r="K1086" s="325"/>
      <c r="L1086" s="325"/>
      <c r="M1086" s="325"/>
    </row>
    <row r="1087" spans="8:13" ht="15.75">
      <c r="H1087" s="325"/>
      <c r="I1087" s="325"/>
      <c r="J1087" s="325"/>
      <c r="K1087" s="325"/>
      <c r="L1087" s="325"/>
      <c r="M1087" s="325"/>
    </row>
    <row r="1088" spans="8:13" ht="15.75">
      <c r="H1088" s="325"/>
      <c r="I1088" s="325"/>
      <c r="J1088" s="325"/>
      <c r="K1088" s="325"/>
      <c r="L1088" s="325"/>
      <c r="M1088" s="325"/>
    </row>
    <row r="1089" spans="8:13" ht="15.75">
      <c r="H1089" s="325"/>
      <c r="I1089" s="325"/>
      <c r="J1089" s="325"/>
      <c r="K1089" s="325"/>
      <c r="L1089" s="325"/>
      <c r="M1089" s="325"/>
    </row>
    <row r="1090" spans="8:13" ht="15.75">
      <c r="H1090" s="325"/>
      <c r="I1090" s="325"/>
      <c r="J1090" s="325"/>
      <c r="K1090" s="325"/>
      <c r="L1090" s="325"/>
      <c r="M1090" s="325"/>
    </row>
    <row r="1091" spans="8:13" ht="15.75">
      <c r="H1091" s="325"/>
      <c r="I1091" s="325"/>
      <c r="J1091" s="325"/>
      <c r="K1091" s="325"/>
      <c r="L1091" s="325"/>
      <c r="M1091" s="325"/>
    </row>
    <row r="1092" spans="8:13" ht="15.75">
      <c r="H1092" s="325"/>
      <c r="I1092" s="325"/>
      <c r="J1092" s="325"/>
      <c r="K1092" s="325"/>
      <c r="L1092" s="325"/>
      <c r="M1092" s="325"/>
    </row>
    <row r="1093" spans="8:13" ht="15.75">
      <c r="H1093" s="325"/>
      <c r="I1093" s="325"/>
      <c r="J1093" s="325"/>
      <c r="K1093" s="325"/>
      <c r="L1093" s="325"/>
      <c r="M1093" s="325"/>
    </row>
    <row r="1094" spans="8:13" ht="15.75">
      <c r="H1094" s="325"/>
      <c r="I1094" s="325"/>
      <c r="J1094" s="325"/>
      <c r="K1094" s="325"/>
      <c r="L1094" s="325"/>
      <c r="M1094" s="325"/>
    </row>
    <row r="1095" spans="8:13" ht="15.75">
      <c r="H1095" s="325"/>
      <c r="I1095" s="325"/>
      <c r="J1095" s="325"/>
      <c r="K1095" s="325"/>
      <c r="L1095" s="325"/>
      <c r="M1095" s="325"/>
    </row>
    <row r="1096" spans="8:13" ht="15.75">
      <c r="H1096" s="325"/>
      <c r="I1096" s="325"/>
      <c r="J1096" s="325"/>
      <c r="K1096" s="325"/>
      <c r="L1096" s="325"/>
      <c r="M1096" s="325"/>
    </row>
    <row r="1097" spans="8:13" ht="15.75">
      <c r="H1097" s="325"/>
      <c r="I1097" s="325"/>
      <c r="J1097" s="325"/>
      <c r="K1097" s="325"/>
      <c r="L1097" s="325"/>
      <c r="M1097" s="325"/>
    </row>
    <row r="1098" spans="8:13" ht="15.75">
      <c r="H1098" s="325"/>
      <c r="I1098" s="325"/>
      <c r="J1098" s="325"/>
      <c r="K1098" s="325"/>
      <c r="L1098" s="325"/>
      <c r="M1098" s="325"/>
    </row>
    <row r="1099" spans="8:13" ht="15.75">
      <c r="H1099" s="325"/>
      <c r="I1099" s="325"/>
      <c r="J1099" s="325"/>
      <c r="K1099" s="325"/>
      <c r="L1099" s="325"/>
      <c r="M1099" s="325"/>
    </row>
    <row r="1100" spans="8:13" ht="15.75">
      <c r="H1100" s="325"/>
      <c r="I1100" s="325"/>
      <c r="J1100" s="325"/>
      <c r="K1100" s="325"/>
      <c r="L1100" s="325"/>
      <c r="M1100" s="325"/>
    </row>
    <row r="1101" spans="8:13" ht="15.75">
      <c r="H1101" s="325"/>
      <c r="I1101" s="325"/>
      <c r="J1101" s="325"/>
      <c r="K1101" s="325"/>
      <c r="L1101" s="325"/>
      <c r="M1101" s="325"/>
    </row>
    <row r="1102" spans="8:13" ht="15.75">
      <c r="H1102" s="325"/>
      <c r="I1102" s="325"/>
      <c r="J1102" s="325"/>
      <c r="K1102" s="325"/>
      <c r="L1102" s="325"/>
      <c r="M1102" s="325"/>
    </row>
    <row r="1103" spans="8:13" ht="15.75">
      <c r="H1103" s="325"/>
      <c r="I1103" s="325"/>
      <c r="J1103" s="325"/>
      <c r="K1103" s="325"/>
      <c r="L1103" s="325"/>
      <c r="M1103" s="325"/>
    </row>
    <row r="1104" spans="8:13" ht="15.75">
      <c r="H1104" s="325"/>
      <c r="I1104" s="325"/>
      <c r="J1104" s="325"/>
      <c r="K1104" s="325"/>
      <c r="L1104" s="325"/>
      <c r="M1104" s="325"/>
    </row>
    <row r="1105" spans="8:13" ht="15.75">
      <c r="H1105" s="325"/>
      <c r="I1105" s="325"/>
      <c r="J1105" s="325"/>
      <c r="K1105" s="325"/>
      <c r="L1105" s="325"/>
      <c r="M1105" s="325"/>
    </row>
    <row r="1106" spans="8:13" ht="15.75">
      <c r="H1106" s="325"/>
      <c r="I1106" s="325"/>
      <c r="J1106" s="325"/>
      <c r="K1106" s="325"/>
      <c r="L1106" s="325"/>
      <c r="M1106" s="325"/>
    </row>
    <row r="1107" spans="8:13" ht="15.75">
      <c r="H1107" s="325"/>
      <c r="I1107" s="325"/>
      <c r="J1107" s="325"/>
      <c r="K1107" s="325"/>
      <c r="L1107" s="325"/>
      <c r="M1107" s="325"/>
    </row>
    <row r="1108" spans="8:13" ht="15.75">
      <c r="H1108" s="325"/>
      <c r="I1108" s="325"/>
      <c r="J1108" s="325"/>
      <c r="K1108" s="325"/>
      <c r="L1108" s="325"/>
      <c r="M1108" s="325"/>
    </row>
    <row r="1109" spans="8:13" ht="15.75">
      <c r="H1109" s="325"/>
      <c r="I1109" s="325"/>
      <c r="J1109" s="325"/>
      <c r="K1109" s="325"/>
      <c r="L1109" s="325"/>
      <c r="M1109" s="325"/>
    </row>
    <row r="1110" spans="8:13" ht="15.75">
      <c r="H1110" s="325"/>
      <c r="I1110" s="325"/>
      <c r="J1110" s="325"/>
      <c r="K1110" s="325"/>
      <c r="L1110" s="325"/>
      <c r="M1110" s="325"/>
    </row>
    <row r="1111" spans="8:13" ht="15.75">
      <c r="H1111" s="325"/>
      <c r="I1111" s="325"/>
      <c r="J1111" s="325"/>
      <c r="K1111" s="325"/>
      <c r="L1111" s="325"/>
      <c r="M1111" s="325"/>
    </row>
    <row r="1112" spans="8:13" ht="15.75">
      <c r="H1112" s="325"/>
      <c r="I1112" s="325"/>
      <c r="J1112" s="325"/>
      <c r="K1112" s="325"/>
      <c r="L1112" s="325"/>
      <c r="M1112" s="325"/>
    </row>
    <row r="1113" spans="8:13" ht="15.75">
      <c r="H1113" s="325"/>
      <c r="I1113" s="325"/>
      <c r="J1113" s="325"/>
      <c r="K1113" s="325"/>
      <c r="L1113" s="325"/>
      <c r="M1113" s="325"/>
    </row>
    <row r="1114" spans="8:13" ht="15.75">
      <c r="H1114" s="325"/>
      <c r="I1114" s="325"/>
      <c r="J1114" s="325"/>
      <c r="K1114" s="325"/>
      <c r="L1114" s="325"/>
      <c r="M1114" s="325"/>
    </row>
    <row r="1115" spans="8:13" ht="15.75">
      <c r="H1115" s="325"/>
      <c r="I1115" s="325"/>
      <c r="J1115" s="325"/>
      <c r="K1115" s="325"/>
      <c r="L1115" s="325"/>
      <c r="M1115" s="325"/>
    </row>
    <row r="1116" spans="8:13" ht="15.75">
      <c r="H1116" s="325"/>
      <c r="I1116" s="325"/>
      <c r="J1116" s="325"/>
      <c r="K1116" s="325"/>
      <c r="L1116" s="325"/>
      <c r="M1116" s="325"/>
    </row>
    <row r="1117" spans="8:13" ht="15.75">
      <c r="H1117" s="325"/>
      <c r="I1117" s="325"/>
      <c r="J1117" s="325"/>
      <c r="K1117" s="325"/>
      <c r="L1117" s="325"/>
      <c r="M1117" s="325"/>
    </row>
    <row r="1118" spans="8:13" ht="15.75">
      <c r="H1118" s="325"/>
      <c r="I1118" s="325"/>
      <c r="J1118" s="325"/>
      <c r="K1118" s="325"/>
      <c r="L1118" s="325"/>
      <c r="M1118" s="325"/>
    </row>
    <row r="1119" spans="8:13" ht="15.75">
      <c r="H1119" s="325"/>
      <c r="I1119" s="325"/>
      <c r="J1119" s="325"/>
      <c r="K1119" s="325"/>
      <c r="L1119" s="325"/>
      <c r="M1119" s="325"/>
    </row>
    <row r="1120" spans="8:13" ht="15.75">
      <c r="H1120" s="325"/>
      <c r="I1120" s="325"/>
      <c r="J1120" s="325"/>
      <c r="K1120" s="325"/>
      <c r="L1120" s="325"/>
      <c r="M1120" s="325"/>
    </row>
    <row r="1121" spans="8:13" ht="15.75">
      <c r="H1121" s="325"/>
      <c r="I1121" s="325"/>
      <c r="J1121" s="325"/>
      <c r="K1121" s="325"/>
      <c r="L1121" s="325"/>
      <c r="M1121" s="325"/>
    </row>
    <row r="1122" spans="8:13" ht="15.75">
      <c r="H1122" s="325"/>
      <c r="I1122" s="325"/>
      <c r="J1122" s="325"/>
      <c r="K1122" s="325"/>
      <c r="L1122" s="325"/>
      <c r="M1122" s="325"/>
    </row>
    <row r="1123" spans="8:13" ht="15.75">
      <c r="H1123" s="325"/>
      <c r="I1123" s="325"/>
      <c r="J1123" s="325"/>
      <c r="K1123" s="325"/>
      <c r="L1123" s="325"/>
      <c r="M1123" s="325"/>
    </row>
    <row r="1124" spans="8:13" ht="15.75">
      <c r="H1124" s="325"/>
      <c r="I1124" s="325"/>
      <c r="J1124" s="325"/>
      <c r="K1124" s="325"/>
      <c r="L1124" s="325"/>
      <c r="M1124" s="325"/>
    </row>
    <row r="1125" spans="8:13" ht="15.75">
      <c r="H1125" s="325"/>
      <c r="I1125" s="325"/>
      <c r="J1125" s="325"/>
      <c r="K1125" s="325"/>
      <c r="L1125" s="325"/>
      <c r="M1125" s="325"/>
    </row>
    <row r="1126" spans="8:13" ht="15.75">
      <c r="H1126" s="325"/>
      <c r="I1126" s="325"/>
      <c r="J1126" s="325"/>
      <c r="K1126" s="325"/>
      <c r="L1126" s="325"/>
      <c r="M1126" s="325"/>
    </row>
    <row r="1127" spans="8:13" ht="15.75">
      <c r="H1127" s="325"/>
      <c r="I1127" s="325"/>
      <c r="J1127" s="325"/>
      <c r="K1127" s="325"/>
      <c r="L1127" s="325"/>
      <c r="M1127" s="325"/>
    </row>
    <row r="1128" spans="8:13" ht="15.75">
      <c r="H1128" s="325"/>
      <c r="I1128" s="325"/>
      <c r="J1128" s="325"/>
      <c r="K1128" s="325"/>
      <c r="L1128" s="325"/>
      <c r="M1128" s="325"/>
    </row>
    <row r="1129" spans="8:13" ht="15.75">
      <c r="H1129" s="325"/>
      <c r="I1129" s="325"/>
      <c r="J1129" s="325"/>
      <c r="K1129" s="325"/>
      <c r="L1129" s="325"/>
      <c r="M1129" s="325"/>
    </row>
    <row r="1130" spans="8:13" ht="15.75">
      <c r="H1130" s="325"/>
      <c r="I1130" s="325"/>
      <c r="J1130" s="325"/>
      <c r="K1130" s="325"/>
      <c r="L1130" s="325"/>
      <c r="M1130" s="325"/>
    </row>
    <row r="1131" spans="8:13" ht="15.75">
      <c r="H1131" s="325"/>
      <c r="I1131" s="325"/>
      <c r="J1131" s="325"/>
      <c r="K1131" s="325"/>
      <c r="L1131" s="325"/>
      <c r="M1131" s="325"/>
    </row>
    <row r="1132" spans="8:13" ht="15.75">
      <c r="H1132" s="325"/>
      <c r="I1132" s="325"/>
      <c r="J1132" s="325"/>
      <c r="K1132" s="325"/>
      <c r="L1132" s="325"/>
      <c r="M1132" s="325"/>
    </row>
    <row r="1133" spans="8:13" ht="15.75">
      <c r="H1133" s="325"/>
      <c r="I1133" s="325"/>
      <c r="J1133" s="325"/>
      <c r="K1133" s="325"/>
      <c r="L1133" s="325"/>
      <c r="M1133" s="325"/>
    </row>
    <row r="1134" spans="8:13" ht="15.75">
      <c r="H1134" s="325"/>
      <c r="I1134" s="325"/>
      <c r="J1134" s="325"/>
      <c r="K1134" s="325"/>
      <c r="L1134" s="325"/>
      <c r="M1134" s="325"/>
    </row>
    <row r="1135" spans="8:13" ht="15.75">
      <c r="H1135" s="325"/>
      <c r="I1135" s="325"/>
      <c r="J1135" s="325"/>
      <c r="K1135" s="325"/>
      <c r="L1135" s="325"/>
      <c r="M1135" s="325"/>
    </row>
    <row r="1136" spans="8:13" ht="15.75">
      <c r="H1136" s="325"/>
      <c r="I1136" s="325"/>
      <c r="J1136" s="325"/>
      <c r="K1136" s="325"/>
      <c r="L1136" s="325"/>
      <c r="M1136" s="325"/>
    </row>
    <row r="1137" spans="8:13" ht="15.75">
      <c r="H1137" s="325"/>
      <c r="I1137" s="325"/>
      <c r="J1137" s="325"/>
      <c r="K1137" s="325"/>
      <c r="L1137" s="325"/>
      <c r="M1137" s="325"/>
    </row>
    <row r="1138" spans="8:13" ht="15.75">
      <c r="H1138" s="325"/>
      <c r="I1138" s="325"/>
      <c r="J1138" s="325"/>
      <c r="K1138" s="325"/>
      <c r="L1138" s="325"/>
      <c r="M1138" s="325"/>
    </row>
    <row r="1139" spans="8:13" ht="15.75">
      <c r="H1139" s="325"/>
      <c r="I1139" s="325"/>
      <c r="J1139" s="325"/>
      <c r="K1139" s="325"/>
      <c r="L1139" s="325"/>
      <c r="M1139" s="325"/>
    </row>
    <row r="1140" spans="8:13" ht="15.75">
      <c r="H1140" s="325"/>
      <c r="I1140" s="325"/>
      <c r="J1140" s="325"/>
      <c r="K1140" s="325"/>
      <c r="L1140" s="325"/>
      <c r="M1140" s="325"/>
    </row>
    <row r="1141" spans="8:13" ht="15.75">
      <c r="H1141" s="325"/>
      <c r="I1141" s="325"/>
      <c r="J1141" s="325"/>
      <c r="K1141" s="325"/>
      <c r="L1141" s="325"/>
      <c r="M1141" s="325"/>
    </row>
    <row r="1142" spans="8:13" ht="15.75">
      <c r="H1142" s="325"/>
      <c r="I1142" s="325"/>
      <c r="J1142" s="325"/>
      <c r="K1142" s="325"/>
      <c r="L1142" s="325"/>
      <c r="M1142" s="325"/>
    </row>
    <row r="1143" spans="8:13" ht="15.75">
      <c r="H1143" s="325"/>
      <c r="I1143" s="325"/>
      <c r="J1143" s="325"/>
      <c r="K1143" s="325"/>
      <c r="L1143" s="325"/>
      <c r="M1143" s="325"/>
    </row>
    <row r="1144" spans="8:13" ht="15.75">
      <c r="H1144" s="325"/>
      <c r="I1144" s="325"/>
      <c r="J1144" s="325"/>
      <c r="K1144" s="325"/>
      <c r="L1144" s="325"/>
      <c r="M1144" s="325"/>
    </row>
    <row r="1145" spans="8:13" ht="15.75">
      <c r="H1145" s="325"/>
      <c r="I1145" s="325"/>
      <c r="J1145" s="325"/>
      <c r="K1145" s="325"/>
      <c r="L1145" s="325"/>
      <c r="M1145" s="325"/>
    </row>
    <row r="1146" spans="8:13" ht="15.75">
      <c r="H1146" s="325"/>
      <c r="I1146" s="325"/>
      <c r="J1146" s="325"/>
      <c r="K1146" s="325"/>
      <c r="L1146" s="325"/>
      <c r="M1146" s="325"/>
    </row>
    <row r="1147" spans="8:13" ht="15.75">
      <c r="H1147" s="325"/>
      <c r="I1147" s="325"/>
      <c r="J1147" s="325"/>
      <c r="K1147" s="325"/>
      <c r="L1147" s="325"/>
      <c r="M1147" s="325"/>
    </row>
    <row r="1148" spans="8:13" ht="15.75">
      <c r="H1148" s="325"/>
      <c r="I1148" s="325"/>
      <c r="J1148" s="325"/>
      <c r="K1148" s="325"/>
      <c r="L1148" s="325"/>
      <c r="M1148" s="325"/>
    </row>
    <row r="1149" spans="8:13" ht="15.75">
      <c r="H1149" s="325"/>
      <c r="I1149" s="325"/>
      <c r="J1149" s="325"/>
      <c r="K1149" s="325"/>
      <c r="L1149" s="325"/>
      <c r="M1149" s="325"/>
    </row>
    <row r="1150" spans="8:13" ht="15.75">
      <c r="H1150" s="325"/>
      <c r="I1150" s="325"/>
      <c r="J1150" s="325"/>
      <c r="K1150" s="325"/>
      <c r="L1150" s="325"/>
      <c r="M1150" s="325"/>
    </row>
    <row r="1151" spans="8:13" ht="15.75">
      <c r="H1151" s="325"/>
      <c r="I1151" s="325"/>
      <c r="J1151" s="325"/>
      <c r="K1151" s="325"/>
      <c r="L1151" s="325"/>
      <c r="M1151" s="325"/>
    </row>
    <row r="1152" spans="8:13" ht="15.75">
      <c r="H1152" s="325"/>
      <c r="I1152" s="325"/>
      <c r="J1152" s="325"/>
      <c r="K1152" s="325"/>
      <c r="L1152" s="325"/>
      <c r="M1152" s="325"/>
    </row>
    <row r="1153" spans="8:13" ht="15.75">
      <c r="H1153" s="325"/>
      <c r="I1153" s="325"/>
      <c r="J1153" s="325"/>
      <c r="K1153" s="325"/>
      <c r="L1153" s="325"/>
      <c r="M1153" s="325"/>
    </row>
    <row r="1154" spans="8:13" ht="15.75">
      <c r="H1154" s="325"/>
      <c r="I1154" s="325"/>
      <c r="J1154" s="325"/>
      <c r="K1154" s="325"/>
      <c r="L1154" s="325"/>
      <c r="M1154" s="325"/>
    </row>
    <row r="1155" spans="8:13" ht="15.75">
      <c r="H1155" s="325"/>
      <c r="I1155" s="325"/>
      <c r="J1155" s="325"/>
      <c r="K1155" s="325"/>
      <c r="L1155" s="325"/>
      <c r="M1155" s="325"/>
    </row>
    <row r="1156" spans="8:13" ht="15.75">
      <c r="H1156" s="325"/>
      <c r="I1156" s="325"/>
      <c r="J1156" s="325"/>
      <c r="K1156" s="325"/>
      <c r="L1156" s="325"/>
      <c r="M1156" s="325"/>
    </row>
    <row r="1157" spans="8:13" ht="15.75">
      <c r="H1157" s="325"/>
      <c r="I1157" s="325"/>
      <c r="J1157" s="325"/>
      <c r="K1157" s="325"/>
      <c r="L1157" s="325"/>
      <c r="M1157" s="325"/>
    </row>
    <row r="1158" spans="8:13" ht="15.75">
      <c r="H1158" s="325"/>
      <c r="I1158" s="325"/>
      <c r="J1158" s="325"/>
      <c r="K1158" s="325"/>
      <c r="L1158" s="325"/>
      <c r="M1158" s="325"/>
    </row>
    <row r="1159" spans="8:13" ht="15.75">
      <c r="H1159" s="325"/>
      <c r="I1159" s="325"/>
      <c r="J1159" s="325"/>
      <c r="K1159" s="325"/>
      <c r="L1159" s="325"/>
      <c r="M1159" s="325"/>
    </row>
    <row r="1160" spans="8:13" ht="15.75">
      <c r="H1160" s="325"/>
      <c r="I1160" s="325"/>
      <c r="J1160" s="325"/>
      <c r="K1160" s="325"/>
      <c r="L1160" s="325"/>
      <c r="M1160" s="325"/>
    </row>
    <row r="1161" spans="8:13" ht="15.75">
      <c r="H1161" s="325"/>
      <c r="I1161" s="325"/>
      <c r="J1161" s="325"/>
      <c r="K1161" s="325"/>
      <c r="L1161" s="325"/>
      <c r="M1161" s="325"/>
    </row>
    <row r="1162" spans="8:13" ht="15.75">
      <c r="H1162" s="325"/>
      <c r="I1162" s="325"/>
      <c r="J1162" s="325"/>
      <c r="K1162" s="325"/>
      <c r="L1162" s="325"/>
      <c r="M1162" s="325"/>
    </row>
    <row r="1163" spans="8:13" ht="15.75">
      <c r="H1163" s="325"/>
      <c r="I1163" s="325"/>
      <c r="J1163" s="325"/>
      <c r="K1163" s="325"/>
      <c r="L1163" s="325"/>
      <c r="M1163" s="325"/>
    </row>
    <row r="1164" spans="8:13" ht="15.75">
      <c r="H1164" s="325"/>
      <c r="I1164" s="325"/>
      <c r="J1164" s="325"/>
      <c r="K1164" s="325"/>
      <c r="L1164" s="325"/>
      <c r="M1164" s="325"/>
    </row>
    <row r="1165" spans="8:13" ht="15.75">
      <c r="H1165" s="325"/>
      <c r="I1165" s="325"/>
      <c r="J1165" s="325"/>
      <c r="K1165" s="325"/>
      <c r="L1165" s="325"/>
      <c r="M1165" s="325"/>
    </row>
    <row r="1166" spans="8:13" ht="15.75">
      <c r="H1166" s="325"/>
      <c r="I1166" s="325"/>
      <c r="J1166" s="325"/>
      <c r="K1166" s="325"/>
      <c r="L1166" s="325"/>
      <c r="M1166" s="325"/>
    </row>
    <row r="1167" spans="8:13" ht="15.75">
      <c r="H1167" s="325"/>
      <c r="I1167" s="325"/>
      <c r="J1167" s="325"/>
      <c r="K1167" s="325"/>
      <c r="L1167" s="325"/>
      <c r="M1167" s="325"/>
    </row>
    <row r="1168" spans="8:13" ht="15.75">
      <c r="H1168" s="325"/>
      <c r="I1168" s="325"/>
      <c r="J1168" s="325"/>
      <c r="K1168" s="325"/>
      <c r="L1168" s="325"/>
      <c r="M1168" s="325"/>
    </row>
    <row r="1169" spans="8:13" ht="15.75">
      <c r="H1169" s="325"/>
      <c r="I1169" s="325"/>
      <c r="J1169" s="325"/>
      <c r="K1169" s="325"/>
      <c r="L1169" s="325"/>
      <c r="M1169" s="325"/>
    </row>
    <row r="1170" spans="8:13" ht="15.75">
      <c r="H1170" s="325"/>
      <c r="I1170" s="325"/>
      <c r="J1170" s="325"/>
      <c r="K1170" s="325"/>
      <c r="L1170" s="325"/>
      <c r="M1170" s="325"/>
    </row>
    <row r="1171" spans="8:13" ht="15.75">
      <c r="H1171" s="325"/>
      <c r="I1171" s="325"/>
      <c r="J1171" s="325"/>
      <c r="K1171" s="325"/>
      <c r="L1171" s="325"/>
      <c r="M1171" s="325"/>
    </row>
    <row r="1172" spans="8:13" ht="15.75">
      <c r="H1172" s="325"/>
      <c r="I1172" s="325"/>
      <c r="J1172" s="325"/>
      <c r="K1172" s="325"/>
      <c r="L1172" s="325"/>
      <c r="M1172" s="325"/>
    </row>
    <row r="1173" spans="8:13" ht="15.75">
      <c r="H1173" s="325"/>
      <c r="I1173" s="325"/>
      <c r="J1173" s="325"/>
      <c r="K1173" s="325"/>
      <c r="L1173" s="325"/>
      <c r="M1173" s="325"/>
    </row>
    <row r="1174" spans="8:13" ht="15.75">
      <c r="H1174" s="325"/>
      <c r="I1174" s="325"/>
      <c r="J1174" s="325"/>
      <c r="K1174" s="325"/>
      <c r="L1174" s="325"/>
      <c r="M1174" s="325"/>
    </row>
    <row r="1175" spans="8:13" ht="15.75">
      <c r="H1175" s="325"/>
      <c r="I1175" s="325"/>
      <c r="J1175" s="325"/>
      <c r="K1175" s="325"/>
      <c r="L1175" s="325"/>
      <c r="M1175" s="325"/>
    </row>
    <row r="1176" spans="8:13" ht="15.75">
      <c r="H1176" s="325"/>
      <c r="I1176" s="325"/>
      <c r="J1176" s="325"/>
      <c r="K1176" s="325"/>
      <c r="L1176" s="325"/>
      <c r="M1176" s="325"/>
    </row>
    <row r="1177" spans="8:13" ht="15.75">
      <c r="H1177" s="325"/>
      <c r="I1177" s="325"/>
      <c r="J1177" s="325"/>
      <c r="K1177" s="325"/>
      <c r="L1177" s="325"/>
      <c r="M1177" s="325"/>
    </row>
    <row r="1178" spans="8:13" ht="15.75">
      <c r="H1178" s="325"/>
      <c r="I1178" s="325"/>
      <c r="J1178" s="325"/>
      <c r="K1178" s="325"/>
      <c r="L1178" s="325"/>
      <c r="M1178" s="325"/>
    </row>
    <row r="1179" spans="8:13" ht="15.75">
      <c r="H1179" s="325"/>
      <c r="I1179" s="325"/>
      <c r="J1179" s="325"/>
      <c r="K1179" s="325"/>
      <c r="L1179" s="325"/>
      <c r="M1179" s="325"/>
    </row>
    <row r="1180" spans="8:13" ht="15.75">
      <c r="H1180" s="325"/>
      <c r="I1180" s="325"/>
      <c r="J1180" s="325"/>
      <c r="K1180" s="325"/>
      <c r="L1180" s="325"/>
      <c r="M1180" s="325"/>
    </row>
    <row r="1181" spans="8:13" ht="15.75">
      <c r="H1181" s="325"/>
      <c r="I1181" s="325"/>
      <c r="J1181" s="325"/>
      <c r="K1181" s="325"/>
      <c r="L1181" s="325"/>
      <c r="M1181" s="325"/>
    </row>
    <row r="1182" spans="8:13" ht="15.75">
      <c r="H1182" s="325"/>
      <c r="I1182" s="325"/>
      <c r="J1182" s="325"/>
      <c r="K1182" s="325"/>
      <c r="L1182" s="325"/>
      <c r="M1182" s="325"/>
    </row>
    <row r="1183" spans="8:13" ht="15.75">
      <c r="H1183" s="325"/>
      <c r="I1183" s="325"/>
      <c r="J1183" s="325"/>
      <c r="K1183" s="325"/>
      <c r="L1183" s="325"/>
      <c r="M1183" s="325"/>
    </row>
    <row r="1184" spans="8:13" ht="15.75">
      <c r="H1184" s="325"/>
      <c r="I1184" s="325"/>
      <c r="J1184" s="325"/>
      <c r="K1184" s="325"/>
      <c r="L1184" s="325"/>
      <c r="M1184" s="325"/>
    </row>
    <row r="1185" spans="8:13" ht="15.75">
      <c r="H1185" s="325"/>
      <c r="I1185" s="325"/>
      <c r="J1185" s="325"/>
      <c r="K1185" s="325"/>
      <c r="L1185" s="325"/>
      <c r="M1185" s="325"/>
    </row>
    <row r="1186" spans="8:13" ht="15.75">
      <c r="H1186" s="325"/>
      <c r="I1186" s="325"/>
      <c r="J1186" s="325"/>
      <c r="K1186" s="325"/>
      <c r="L1186" s="325"/>
      <c r="M1186" s="325"/>
    </row>
    <row r="1187" spans="9:13" ht="15.75">
      <c r="I1187" s="325"/>
      <c r="J1187" s="325"/>
      <c r="K1187" s="325"/>
      <c r="L1187" s="325"/>
      <c r="M1187" s="325"/>
    </row>
    <row r="1188" spans="9:13" ht="15.75">
      <c r="I1188" s="325"/>
      <c r="J1188" s="325"/>
      <c r="K1188" s="325"/>
      <c r="L1188" s="325"/>
      <c r="M1188" s="325"/>
    </row>
    <row r="1189" spans="9:13" ht="15.75">
      <c r="I1189" s="325"/>
      <c r="J1189" s="325"/>
      <c r="K1189" s="325"/>
      <c r="L1189" s="325"/>
      <c r="M1189" s="325"/>
    </row>
    <row r="1190" spans="9:13" ht="15.75">
      <c r="I1190" s="325"/>
      <c r="J1190" s="325"/>
      <c r="K1190" s="325"/>
      <c r="L1190" s="325"/>
      <c r="M1190" s="325"/>
    </row>
    <row r="1191" spans="9:13" ht="15.75">
      <c r="I1191" s="325"/>
      <c r="J1191" s="325"/>
      <c r="K1191" s="325"/>
      <c r="L1191" s="325"/>
      <c r="M1191" s="325"/>
    </row>
    <row r="1192" spans="9:13" ht="15.75">
      <c r="I1192" s="325"/>
      <c r="J1192" s="325"/>
      <c r="K1192" s="325"/>
      <c r="L1192" s="325"/>
      <c r="M1192" s="325"/>
    </row>
    <row r="1193" spans="9:13" ht="15.75">
      <c r="I1193" s="325"/>
      <c r="J1193" s="325"/>
      <c r="K1193" s="325"/>
      <c r="L1193" s="325"/>
      <c r="M1193" s="325"/>
    </row>
    <row r="1194" spans="9:13" ht="15.75">
      <c r="I1194" s="325"/>
      <c r="J1194" s="325"/>
      <c r="K1194" s="325"/>
      <c r="L1194" s="325"/>
      <c r="M1194" s="325"/>
    </row>
    <row r="1195" spans="9:13" ht="15.75">
      <c r="I1195" s="325"/>
      <c r="J1195" s="325"/>
      <c r="K1195" s="325"/>
      <c r="L1195" s="325"/>
      <c r="M1195" s="325"/>
    </row>
    <row r="1196" spans="9:13" ht="15.75">
      <c r="I1196" s="325"/>
      <c r="J1196" s="325"/>
      <c r="K1196" s="325"/>
      <c r="L1196" s="325"/>
      <c r="M1196" s="325"/>
    </row>
    <row r="1197" spans="9:13" ht="15.75">
      <c r="I1197" s="325"/>
      <c r="J1197" s="325"/>
      <c r="K1197" s="325"/>
      <c r="L1197" s="325"/>
      <c r="M1197" s="325"/>
    </row>
    <row r="1198" spans="9:13" ht="15.75">
      <c r="I1198" s="325"/>
      <c r="J1198" s="325"/>
      <c r="K1198" s="325"/>
      <c r="L1198" s="325"/>
      <c r="M1198" s="325"/>
    </row>
    <row r="1199" spans="9:13" ht="15.75">
      <c r="I1199" s="325"/>
      <c r="J1199" s="325"/>
      <c r="K1199" s="325"/>
      <c r="L1199" s="325"/>
      <c r="M1199" s="325"/>
    </row>
    <row r="1200" spans="9:13" ht="15.75">
      <c r="I1200" s="325"/>
      <c r="J1200" s="325"/>
      <c r="K1200" s="325"/>
      <c r="L1200" s="325"/>
      <c r="M1200" s="325"/>
    </row>
    <row r="1201" spans="9:13" ht="15.75">
      <c r="I1201" s="325"/>
      <c r="J1201" s="325"/>
      <c r="K1201" s="325"/>
      <c r="L1201" s="325"/>
      <c r="M1201" s="325"/>
    </row>
    <row r="1202" spans="9:13" ht="15.75">
      <c r="I1202" s="325"/>
      <c r="J1202" s="325"/>
      <c r="K1202" s="325"/>
      <c r="L1202" s="325"/>
      <c r="M1202" s="325"/>
    </row>
    <row r="1203" spans="9:13" ht="15.75">
      <c r="I1203" s="325"/>
      <c r="J1203" s="325"/>
      <c r="K1203" s="325"/>
      <c r="L1203" s="325"/>
      <c r="M1203" s="325"/>
    </row>
    <row r="1204" spans="9:13" ht="15.75">
      <c r="I1204" s="325"/>
      <c r="J1204" s="325"/>
      <c r="K1204" s="325"/>
      <c r="L1204" s="325"/>
      <c r="M1204" s="325"/>
    </row>
    <row r="1205" spans="9:13" ht="15.75">
      <c r="I1205" s="325"/>
      <c r="J1205" s="325"/>
      <c r="K1205" s="325"/>
      <c r="L1205" s="325"/>
      <c r="M1205" s="325"/>
    </row>
    <row r="1206" spans="9:13" ht="15.75">
      <c r="I1206" s="325"/>
      <c r="J1206" s="325"/>
      <c r="K1206" s="325"/>
      <c r="L1206" s="325"/>
      <c r="M1206" s="325"/>
    </row>
    <row r="1207" spans="9:13" ht="15.75">
      <c r="I1207" s="325"/>
      <c r="J1207" s="325"/>
      <c r="K1207" s="325"/>
      <c r="L1207" s="325"/>
      <c r="M1207" s="325"/>
    </row>
    <row r="1208" spans="9:13" ht="15.75">
      <c r="I1208" s="325"/>
      <c r="J1208" s="325"/>
      <c r="K1208" s="325"/>
      <c r="L1208" s="325"/>
      <c r="M1208" s="325"/>
    </row>
    <row r="1209" spans="9:13" ht="15.75">
      <c r="I1209" s="325"/>
      <c r="J1209" s="325"/>
      <c r="K1209" s="325"/>
      <c r="L1209" s="325"/>
      <c r="M1209" s="325"/>
    </row>
    <row r="1210" spans="9:13" ht="15.75">
      <c r="I1210" s="325"/>
      <c r="J1210" s="325"/>
      <c r="K1210" s="325"/>
      <c r="L1210" s="325"/>
      <c r="M1210" s="325"/>
    </row>
    <row r="1211" spans="9:13" ht="15.75">
      <c r="I1211" s="325"/>
      <c r="J1211" s="325"/>
      <c r="K1211" s="325"/>
      <c r="L1211" s="325"/>
      <c r="M1211" s="325"/>
    </row>
    <row r="1212" spans="9:13" ht="15.75">
      <c r="I1212" s="325"/>
      <c r="J1212" s="325"/>
      <c r="K1212" s="325"/>
      <c r="L1212" s="325"/>
      <c r="M1212" s="325"/>
    </row>
    <row r="1213" spans="9:13" ht="15.75">
      <c r="I1213" s="325"/>
      <c r="J1213" s="325"/>
      <c r="K1213" s="325"/>
      <c r="L1213" s="325"/>
      <c r="M1213" s="325"/>
    </row>
    <row r="1214" spans="9:13" ht="15.75">
      <c r="I1214" s="325"/>
      <c r="J1214" s="325"/>
      <c r="K1214" s="325"/>
      <c r="L1214" s="325"/>
      <c r="M1214" s="325"/>
    </row>
    <row r="1215" spans="9:13" ht="15.75">
      <c r="I1215" s="325"/>
      <c r="J1215" s="325"/>
      <c r="K1215" s="325"/>
      <c r="L1215" s="325"/>
      <c r="M1215" s="325"/>
    </row>
    <row r="1216" spans="9:13" ht="15.75">
      <c r="I1216" s="325"/>
      <c r="J1216" s="325"/>
      <c r="K1216" s="325"/>
      <c r="L1216" s="325"/>
      <c r="M1216" s="325"/>
    </row>
    <row r="1217" spans="9:13" ht="15.75">
      <c r="I1217" s="325"/>
      <c r="J1217" s="325"/>
      <c r="K1217" s="325"/>
      <c r="L1217" s="325"/>
      <c r="M1217" s="325"/>
    </row>
    <row r="1218" spans="9:13" ht="15.75">
      <c r="I1218" s="325"/>
      <c r="J1218" s="325"/>
      <c r="K1218" s="325"/>
      <c r="L1218" s="325"/>
      <c r="M1218" s="325"/>
    </row>
    <row r="1219" spans="9:13" ht="15.75">
      <c r="I1219" s="325"/>
      <c r="J1219" s="325"/>
      <c r="K1219" s="325"/>
      <c r="L1219" s="325"/>
      <c r="M1219" s="325"/>
    </row>
    <row r="1220" spans="9:13" ht="15.75">
      <c r="I1220" s="325"/>
      <c r="J1220" s="325"/>
      <c r="K1220" s="325"/>
      <c r="L1220" s="325"/>
      <c r="M1220" s="325"/>
    </row>
    <row r="1221" spans="9:13" ht="15.75">
      <c r="I1221" s="325"/>
      <c r="J1221" s="325"/>
      <c r="K1221" s="325"/>
      <c r="L1221" s="325"/>
      <c r="M1221" s="325"/>
    </row>
    <row r="1222" spans="9:13" ht="15.75">
      <c r="I1222" s="325"/>
      <c r="J1222" s="325"/>
      <c r="K1222" s="325"/>
      <c r="L1222" s="325"/>
      <c r="M1222" s="325"/>
    </row>
    <row r="1223" spans="9:13" ht="15.75">
      <c r="I1223" s="325"/>
      <c r="J1223" s="325"/>
      <c r="K1223" s="325"/>
      <c r="L1223" s="325"/>
      <c r="M1223" s="325"/>
    </row>
    <row r="1224" spans="9:13" ht="15.75">
      <c r="I1224" s="325"/>
      <c r="J1224" s="325"/>
      <c r="K1224" s="325"/>
      <c r="L1224" s="325"/>
      <c r="M1224" s="325"/>
    </row>
    <row r="1225" spans="9:13" ht="15.75">
      <c r="I1225" s="325"/>
      <c r="J1225" s="325"/>
      <c r="K1225" s="325"/>
      <c r="L1225" s="325"/>
      <c r="M1225" s="325"/>
    </row>
    <row r="1226" spans="9:13" ht="15.75">
      <c r="I1226" s="325"/>
      <c r="J1226" s="325"/>
      <c r="K1226" s="325"/>
      <c r="L1226" s="325"/>
      <c r="M1226" s="325"/>
    </row>
    <row r="1227" spans="9:13" ht="15.75">
      <c r="I1227" s="325"/>
      <c r="J1227" s="325"/>
      <c r="K1227" s="325"/>
      <c r="L1227" s="325"/>
      <c r="M1227" s="325"/>
    </row>
    <row r="1228" spans="9:13" ht="15.75">
      <c r="I1228" s="325"/>
      <c r="J1228" s="325"/>
      <c r="K1228" s="325"/>
      <c r="L1228" s="325"/>
      <c r="M1228" s="325"/>
    </row>
    <row r="1229" spans="9:13" ht="15.75">
      <c r="I1229" s="325"/>
      <c r="J1229" s="325"/>
      <c r="K1229" s="325"/>
      <c r="L1229" s="325"/>
      <c r="M1229" s="325"/>
    </row>
    <row r="1230" spans="9:13" ht="15.75">
      <c r="I1230" s="325"/>
      <c r="J1230" s="325"/>
      <c r="K1230" s="325"/>
      <c r="L1230" s="325"/>
      <c r="M1230" s="325"/>
    </row>
    <row r="1231" spans="9:13" ht="15.75">
      <c r="I1231" s="325"/>
      <c r="J1231" s="325"/>
      <c r="K1231" s="325"/>
      <c r="L1231" s="325"/>
      <c r="M1231" s="325"/>
    </row>
    <row r="1232" spans="9:13" ht="15.75">
      <c r="I1232" s="325"/>
      <c r="J1232" s="325"/>
      <c r="K1232" s="325"/>
      <c r="L1232" s="325"/>
      <c r="M1232" s="325"/>
    </row>
    <row r="1233" spans="9:13" ht="15.75">
      <c r="I1233" s="325"/>
      <c r="J1233" s="325"/>
      <c r="K1233" s="325"/>
      <c r="L1233" s="325"/>
      <c r="M1233" s="325"/>
    </row>
    <row r="1234" spans="9:13" ht="15.75">
      <c r="I1234" s="325"/>
      <c r="J1234" s="325"/>
      <c r="K1234" s="325"/>
      <c r="L1234" s="325"/>
      <c r="M1234" s="325"/>
    </row>
    <row r="1235" spans="9:13" ht="15.75">
      <c r="I1235" s="325"/>
      <c r="J1235" s="325"/>
      <c r="K1235" s="325"/>
      <c r="L1235" s="325"/>
      <c r="M1235" s="325"/>
    </row>
    <row r="1236" spans="9:13" ht="15.75">
      <c r="I1236" s="325"/>
      <c r="J1236" s="325"/>
      <c r="K1236" s="325"/>
      <c r="L1236" s="325"/>
      <c r="M1236" s="325"/>
    </row>
    <row r="1237" spans="9:13" ht="15.75">
      <c r="I1237" s="325"/>
      <c r="J1237" s="325"/>
      <c r="K1237" s="325"/>
      <c r="L1237" s="325"/>
      <c r="M1237" s="325"/>
    </row>
    <row r="1238" spans="9:13" ht="15.75">
      <c r="I1238" s="325"/>
      <c r="J1238" s="325"/>
      <c r="K1238" s="325"/>
      <c r="L1238" s="325"/>
      <c r="M1238" s="325"/>
    </row>
    <row r="1239" spans="9:13" ht="15.75">
      <c r="I1239" s="325"/>
      <c r="J1239" s="325"/>
      <c r="K1239" s="325"/>
      <c r="L1239" s="325"/>
      <c r="M1239" s="325"/>
    </row>
    <row r="1240" spans="9:13" ht="15.75">
      <c r="I1240" s="325"/>
      <c r="J1240" s="325"/>
      <c r="K1240" s="325"/>
      <c r="L1240" s="325"/>
      <c r="M1240" s="325"/>
    </row>
    <row r="1241" spans="9:13" ht="15.75">
      <c r="I1241" s="325"/>
      <c r="J1241" s="325"/>
      <c r="K1241" s="325"/>
      <c r="L1241" s="325"/>
      <c r="M1241" s="325"/>
    </row>
    <row r="1242" spans="9:13" ht="15.75">
      <c r="I1242" s="325"/>
      <c r="J1242" s="325"/>
      <c r="K1242" s="325"/>
      <c r="L1242" s="325"/>
      <c r="M1242" s="325"/>
    </row>
    <row r="1243" spans="9:13" ht="15.75">
      <c r="I1243" s="325"/>
      <c r="J1243" s="325"/>
      <c r="K1243" s="325"/>
      <c r="L1243" s="325"/>
      <c r="M1243" s="325"/>
    </row>
    <row r="1244" spans="9:13" ht="15.75">
      <c r="I1244" s="325"/>
      <c r="J1244" s="325"/>
      <c r="K1244" s="325"/>
      <c r="L1244" s="325"/>
      <c r="M1244" s="325"/>
    </row>
    <row r="1245" spans="9:13" ht="15.75">
      <c r="I1245" s="325"/>
      <c r="J1245" s="325"/>
      <c r="K1245" s="325"/>
      <c r="L1245" s="325"/>
      <c r="M1245" s="325"/>
    </row>
    <row r="1246" spans="9:13" ht="15.75">
      <c r="I1246" s="325"/>
      <c r="J1246" s="325"/>
      <c r="K1246" s="325"/>
      <c r="L1246" s="325"/>
      <c r="M1246" s="325"/>
    </row>
    <row r="1247" spans="9:13" ht="15.75">
      <c r="I1247" s="325"/>
      <c r="J1247" s="325"/>
      <c r="K1247" s="325"/>
      <c r="L1247" s="325"/>
      <c r="M1247" s="325"/>
    </row>
    <row r="1248" spans="9:13" ht="15.75">
      <c r="I1248" s="325"/>
      <c r="J1248" s="325"/>
      <c r="K1248" s="325"/>
      <c r="L1248" s="325"/>
      <c r="M1248" s="325"/>
    </row>
    <row r="1249" spans="9:13" ht="15.75">
      <c r="I1249" s="325"/>
      <c r="J1249" s="325"/>
      <c r="K1249" s="325"/>
      <c r="L1249" s="325"/>
      <c r="M1249" s="325"/>
    </row>
    <row r="1250" spans="9:13" ht="15.75">
      <c r="I1250" s="325"/>
      <c r="J1250" s="325"/>
      <c r="K1250" s="325"/>
      <c r="L1250" s="325"/>
      <c r="M1250" s="325"/>
    </row>
    <row r="1251" spans="9:13" ht="15.75">
      <c r="I1251" s="325"/>
      <c r="J1251" s="325"/>
      <c r="K1251" s="325"/>
      <c r="L1251" s="325"/>
      <c r="M1251" s="325"/>
    </row>
    <row r="1252" spans="9:13" ht="15.75">
      <c r="I1252" s="325"/>
      <c r="J1252" s="325"/>
      <c r="K1252" s="325"/>
      <c r="L1252" s="325"/>
      <c r="M1252" s="325"/>
    </row>
    <row r="1253" spans="9:13" ht="15.75">
      <c r="I1253" s="325"/>
      <c r="J1253" s="325"/>
      <c r="K1253" s="325"/>
      <c r="L1253" s="325"/>
      <c r="M1253" s="325"/>
    </row>
    <row r="1254" spans="9:13" ht="15.75">
      <c r="I1254" s="325"/>
      <c r="J1254" s="325"/>
      <c r="K1254" s="325"/>
      <c r="L1254" s="325"/>
      <c r="M1254" s="325"/>
    </row>
    <row r="1255" spans="9:13" ht="15.75">
      <c r="I1255" s="325"/>
      <c r="J1255" s="325"/>
      <c r="K1255" s="325"/>
      <c r="L1255" s="325"/>
      <c r="M1255" s="325"/>
    </row>
    <row r="1256" spans="9:13" ht="15.75">
      <c r="I1256" s="325"/>
      <c r="J1256" s="325"/>
      <c r="K1256" s="325"/>
      <c r="L1256" s="325"/>
      <c r="M1256" s="325"/>
    </row>
    <row r="1257" spans="9:13" ht="15.75">
      <c r="I1257" s="325"/>
      <c r="J1257" s="325"/>
      <c r="K1257" s="325"/>
      <c r="L1257" s="325"/>
      <c r="M1257" s="325"/>
    </row>
    <row r="1258" spans="9:13" ht="15.75">
      <c r="I1258" s="325"/>
      <c r="J1258" s="325"/>
      <c r="K1258" s="325"/>
      <c r="L1258" s="325"/>
      <c r="M1258" s="325"/>
    </row>
    <row r="1259" spans="9:13" ht="15.75">
      <c r="I1259" s="325"/>
      <c r="J1259" s="325"/>
      <c r="K1259" s="325"/>
      <c r="L1259" s="325"/>
      <c r="M1259" s="325"/>
    </row>
    <row r="1260" spans="9:13" ht="15.75">
      <c r="I1260" s="325"/>
      <c r="J1260" s="325"/>
      <c r="K1260" s="325"/>
      <c r="L1260" s="325"/>
      <c r="M1260" s="325"/>
    </row>
    <row r="1261" spans="9:13" ht="15.75">
      <c r="I1261" s="325"/>
      <c r="J1261" s="325"/>
      <c r="K1261" s="325"/>
      <c r="L1261" s="325"/>
      <c r="M1261" s="325"/>
    </row>
    <row r="1262" spans="9:13" ht="15.75">
      <c r="I1262" s="325"/>
      <c r="J1262" s="325"/>
      <c r="K1262" s="325"/>
      <c r="L1262" s="325"/>
      <c r="M1262" s="325"/>
    </row>
    <row r="1263" spans="9:13" ht="15.75">
      <c r="I1263" s="325"/>
      <c r="J1263" s="325"/>
      <c r="K1263" s="325"/>
      <c r="L1263" s="325"/>
      <c r="M1263" s="325"/>
    </row>
    <row r="1264" spans="9:13" ht="15.75">
      <c r="I1264" s="325"/>
      <c r="J1264" s="325"/>
      <c r="K1264" s="325"/>
      <c r="L1264" s="325"/>
      <c r="M1264" s="325"/>
    </row>
    <row r="1265" spans="9:13" ht="15.75">
      <c r="I1265" s="325"/>
      <c r="J1265" s="325"/>
      <c r="K1265" s="325"/>
      <c r="L1265" s="325"/>
      <c r="M1265" s="325"/>
    </row>
    <row r="1266" spans="9:13" ht="15.75">
      <c r="I1266" s="325"/>
      <c r="J1266" s="325"/>
      <c r="K1266" s="325"/>
      <c r="L1266" s="325"/>
      <c r="M1266" s="325"/>
    </row>
    <row r="1267" spans="9:13" ht="15.75">
      <c r="I1267" s="325"/>
      <c r="J1267" s="325"/>
      <c r="K1267" s="325"/>
      <c r="L1267" s="325"/>
      <c r="M1267" s="325"/>
    </row>
    <row r="1268" spans="9:13" ht="15.75">
      <c r="I1268" s="325"/>
      <c r="J1268" s="325"/>
      <c r="K1268" s="325"/>
      <c r="L1268" s="325"/>
      <c r="M1268" s="325"/>
    </row>
    <row r="1269" spans="9:13" ht="15.75">
      <c r="I1269" s="325"/>
      <c r="J1269" s="325"/>
      <c r="K1269" s="325"/>
      <c r="L1269" s="325"/>
      <c r="M1269" s="325"/>
    </row>
    <row r="1270" spans="9:13" ht="15.75">
      <c r="I1270" s="325"/>
      <c r="J1270" s="325"/>
      <c r="K1270" s="325"/>
      <c r="L1270" s="325"/>
      <c r="M1270" s="325"/>
    </row>
    <row r="1271" spans="9:13" ht="15.75">
      <c r="I1271" s="325"/>
      <c r="J1271" s="325"/>
      <c r="K1271" s="325"/>
      <c r="L1271" s="325"/>
      <c r="M1271" s="325"/>
    </row>
    <row r="1272" spans="9:13" ht="15.75">
      <c r="I1272" s="325"/>
      <c r="J1272" s="325"/>
      <c r="K1272" s="325"/>
      <c r="L1272" s="325"/>
      <c r="M1272" s="325"/>
    </row>
    <row r="1273" spans="9:13" ht="15.75">
      <c r="I1273" s="325"/>
      <c r="J1273" s="325"/>
      <c r="K1273" s="325"/>
      <c r="L1273" s="325"/>
      <c r="M1273" s="325"/>
    </row>
    <row r="1274" spans="9:13" ht="15.75">
      <c r="I1274" s="325"/>
      <c r="J1274" s="325"/>
      <c r="K1274" s="325"/>
      <c r="L1274" s="325"/>
      <c r="M1274" s="325"/>
    </row>
    <row r="1275" spans="9:13" ht="15.75">
      <c r="I1275" s="325"/>
      <c r="J1275" s="325"/>
      <c r="K1275" s="325"/>
      <c r="L1275" s="325"/>
      <c r="M1275" s="325"/>
    </row>
    <row r="1276" spans="9:13" ht="15.75">
      <c r="I1276" s="325"/>
      <c r="J1276" s="325"/>
      <c r="K1276" s="325"/>
      <c r="L1276" s="325"/>
      <c r="M1276" s="325"/>
    </row>
    <row r="1277" spans="9:13" ht="15.75">
      <c r="I1277" s="325"/>
      <c r="J1277" s="325"/>
      <c r="K1277" s="325"/>
      <c r="L1277" s="325"/>
      <c r="M1277" s="325"/>
    </row>
    <row r="1278" spans="9:13" ht="15.75">
      <c r="I1278" s="325"/>
      <c r="J1278" s="325"/>
      <c r="K1278" s="325"/>
      <c r="L1278" s="325"/>
      <c r="M1278" s="325"/>
    </row>
    <row r="1279" spans="9:13" ht="15.75">
      <c r="I1279" s="325"/>
      <c r="J1279" s="325"/>
      <c r="K1279" s="325"/>
      <c r="L1279" s="325"/>
      <c r="M1279" s="325"/>
    </row>
    <row r="1280" spans="9:13" ht="15.75">
      <c r="I1280" s="325"/>
      <c r="J1280" s="325"/>
      <c r="K1280" s="325"/>
      <c r="L1280" s="325"/>
      <c r="M1280" s="325"/>
    </row>
    <row r="1281" spans="9:13" ht="15.75">
      <c r="I1281" s="325"/>
      <c r="J1281" s="325"/>
      <c r="K1281" s="325"/>
      <c r="L1281" s="325"/>
      <c r="M1281" s="325"/>
    </row>
    <row r="1282" spans="9:13" ht="15.75">
      <c r="I1282" s="325"/>
      <c r="J1282" s="325"/>
      <c r="K1282" s="325"/>
      <c r="L1282" s="325"/>
      <c r="M1282" s="325"/>
    </row>
    <row r="1283" spans="9:13" ht="15.75">
      <c r="I1283" s="325"/>
      <c r="J1283" s="325"/>
      <c r="K1283" s="325"/>
      <c r="L1283" s="325"/>
      <c r="M1283" s="325"/>
    </row>
    <row r="1284" spans="9:13" ht="15.75">
      <c r="I1284" s="325"/>
      <c r="J1284" s="325"/>
      <c r="K1284" s="325"/>
      <c r="L1284" s="325"/>
      <c r="M1284" s="325"/>
    </row>
    <row r="1285" spans="9:13" ht="15.75">
      <c r="I1285" s="325"/>
      <c r="J1285" s="325"/>
      <c r="K1285" s="325"/>
      <c r="L1285" s="325"/>
      <c r="M1285" s="325"/>
    </row>
    <row r="1286" spans="9:13" ht="15.75">
      <c r="I1286" s="325"/>
      <c r="J1286" s="325"/>
      <c r="K1286" s="325"/>
      <c r="L1286" s="325"/>
      <c r="M1286" s="325"/>
    </row>
    <row r="1287" spans="9:13" ht="15.75">
      <c r="I1287" s="325"/>
      <c r="J1287" s="325"/>
      <c r="K1287" s="325"/>
      <c r="L1287" s="325"/>
      <c r="M1287" s="325"/>
    </row>
    <row r="1288" spans="9:13" ht="15.75">
      <c r="I1288" s="325"/>
      <c r="J1288" s="325"/>
      <c r="K1288" s="325"/>
      <c r="L1288" s="325"/>
      <c r="M1288" s="325"/>
    </row>
    <row r="1289" spans="9:13" ht="15.75">
      <c r="I1289" s="325"/>
      <c r="J1289" s="325"/>
      <c r="K1289" s="325"/>
      <c r="L1289" s="325"/>
      <c r="M1289" s="325"/>
    </row>
    <row r="1290" spans="9:13" ht="15.75">
      <c r="I1290" s="325"/>
      <c r="J1290" s="325"/>
      <c r="K1290" s="325"/>
      <c r="L1290" s="325"/>
      <c r="M1290" s="325"/>
    </row>
    <row r="1291" spans="9:13" ht="15.75">
      <c r="I1291" s="325"/>
      <c r="J1291" s="325"/>
      <c r="K1291" s="325"/>
      <c r="L1291" s="325"/>
      <c r="M1291" s="325"/>
    </row>
    <row r="1292" spans="9:13" ht="15.75">
      <c r="I1292" s="325"/>
      <c r="J1292" s="325"/>
      <c r="K1292" s="325"/>
      <c r="L1292" s="325"/>
      <c r="M1292" s="325"/>
    </row>
    <row r="1293" spans="9:13" ht="15.75">
      <c r="I1293" s="325"/>
      <c r="J1293" s="325"/>
      <c r="K1293" s="325"/>
      <c r="L1293" s="325"/>
      <c r="M1293" s="325"/>
    </row>
    <row r="1294" spans="9:13" ht="15.75">
      <c r="I1294" s="325"/>
      <c r="J1294" s="325"/>
      <c r="K1294" s="325"/>
      <c r="L1294" s="325"/>
      <c r="M1294" s="325"/>
    </row>
    <row r="1295" spans="9:13" ht="15.75">
      <c r="I1295" s="325"/>
      <c r="J1295" s="325"/>
      <c r="K1295" s="325"/>
      <c r="L1295" s="325"/>
      <c r="M1295" s="325"/>
    </row>
    <row r="1296" spans="9:13" ht="15.75">
      <c r="I1296" s="325"/>
      <c r="J1296" s="325"/>
      <c r="K1296" s="325"/>
      <c r="L1296" s="325"/>
      <c r="M1296" s="325"/>
    </row>
    <row r="1297" spans="9:13" ht="15.75">
      <c r="I1297" s="325"/>
      <c r="J1297" s="325"/>
      <c r="K1297" s="325"/>
      <c r="L1297" s="325"/>
      <c r="M1297" s="325"/>
    </row>
    <row r="1298" spans="9:13" ht="15.75">
      <c r="I1298" s="325"/>
      <c r="J1298" s="325"/>
      <c r="K1298" s="325"/>
      <c r="L1298" s="325"/>
      <c r="M1298" s="325"/>
    </row>
    <row r="1299" spans="9:13" ht="15.75">
      <c r="I1299" s="325"/>
      <c r="J1299" s="325"/>
      <c r="K1299" s="325"/>
      <c r="L1299" s="325"/>
      <c r="M1299" s="325"/>
    </row>
    <row r="1300" spans="9:13" ht="15.75">
      <c r="I1300" s="325"/>
      <c r="J1300" s="325"/>
      <c r="K1300" s="325"/>
      <c r="L1300" s="325"/>
      <c r="M1300" s="325"/>
    </row>
    <row r="1301" spans="9:13" ht="15.75">
      <c r="I1301" s="325"/>
      <c r="J1301" s="325"/>
      <c r="K1301" s="325"/>
      <c r="L1301" s="325"/>
      <c r="M1301" s="325"/>
    </row>
    <row r="1302" spans="9:13" ht="15.75">
      <c r="I1302" s="325"/>
      <c r="J1302" s="325"/>
      <c r="K1302" s="325"/>
      <c r="L1302" s="325"/>
      <c r="M1302" s="325"/>
    </row>
    <row r="1303" spans="9:13" ht="15.75">
      <c r="I1303" s="325"/>
      <c r="J1303" s="325"/>
      <c r="K1303" s="325"/>
      <c r="L1303" s="325"/>
      <c r="M1303" s="325"/>
    </row>
    <row r="1304" spans="9:13" ht="15.75">
      <c r="I1304" s="325"/>
      <c r="J1304" s="325"/>
      <c r="K1304" s="325"/>
      <c r="L1304" s="325"/>
      <c r="M1304" s="325"/>
    </row>
    <row r="1305" spans="9:13" ht="15.75">
      <c r="I1305" s="325"/>
      <c r="J1305" s="325"/>
      <c r="K1305" s="325"/>
      <c r="L1305" s="325"/>
      <c r="M1305" s="325"/>
    </row>
    <row r="1306" spans="9:13" ht="15.75">
      <c r="I1306" s="325"/>
      <c r="J1306" s="325"/>
      <c r="K1306" s="325"/>
      <c r="L1306" s="325"/>
      <c r="M1306" s="325"/>
    </row>
  </sheetData>
  <mergeCells count="3">
    <mergeCell ref="E264:F264"/>
    <mergeCell ref="A23:A24"/>
    <mergeCell ref="G263:H263"/>
  </mergeCells>
  <printOptions gridLines="1" horizontalCentered="1"/>
  <pageMargins left="0.3937007874015748" right="0.3937007874015748" top="0.8661417322834646" bottom="0.7086614173228347" header="0.31496062992125984" footer="0.2362204724409449"/>
  <pageSetup fitToHeight="2" fitToWidth="1" horizontalDpi="600" verticalDpi="600" orientation="portrait" paperSize="9" scale="27" r:id="rId1"/>
  <headerFooter alignWithMargins="0">
    <oddHeader>&amp;L&amp;"Tahoma,Navadno"&amp;14&amp;D&amp;C&amp;"Tahoma,Krepko"INFORMATIVNI AMORTIZACIJSKI NAČRT&amp;R&amp;"Banka Koper,Regular"&amp;22A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ABANKA</dc:creator>
  <cp:keywords/>
  <dc:description/>
  <cp:lastModifiedBy>Veronika Šart</cp:lastModifiedBy>
  <cp:lastPrinted>2011-12-15T15:25:26Z</cp:lastPrinted>
  <dcterms:created xsi:type="dcterms:W3CDTF">1999-05-19T10:41:00Z</dcterms:created>
  <dcterms:modified xsi:type="dcterms:W3CDTF">2012-03-19T11:27:18Z</dcterms:modified>
  <cp:category/>
  <cp:version/>
  <cp:contentType/>
  <cp:contentStatus/>
</cp:coreProperties>
</file>