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E\"/>
    </mc:Choice>
  </mc:AlternateContent>
  <bookViews>
    <workbookView xWindow="0" yWindow="0" windowWidth="28800" windowHeight="12435"/>
  </bookViews>
  <sheets>
    <sheet name="List1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L56" i="1"/>
  <c r="L55" i="1"/>
  <c r="L54" i="1"/>
  <c r="M49" i="1"/>
  <c r="N49" i="1" s="1"/>
  <c r="L49" i="1"/>
  <c r="H49" i="1"/>
  <c r="G49" i="1"/>
  <c r="I49" i="1" s="1"/>
  <c r="C49" i="1"/>
  <c r="D49" i="1" s="1"/>
  <c r="B49" i="1"/>
  <c r="M48" i="1"/>
  <c r="L48" i="1"/>
  <c r="L50" i="1" s="1"/>
  <c r="H48" i="1"/>
  <c r="I48" i="1" s="1"/>
  <c r="G48" i="1"/>
  <c r="C48" i="1"/>
  <c r="B48" i="1"/>
  <c r="B50" i="1" s="1"/>
  <c r="M47" i="1"/>
  <c r="M50" i="1" s="1"/>
  <c r="L47" i="1"/>
  <c r="H47" i="1"/>
  <c r="G47" i="1"/>
  <c r="G50" i="1" s="1"/>
  <c r="C47" i="1"/>
  <c r="C50" i="1" s="1"/>
  <c r="B47" i="1"/>
  <c r="M41" i="1"/>
  <c r="L41" i="1"/>
  <c r="N41" i="1" s="1"/>
  <c r="H41" i="1"/>
  <c r="I41" i="1" s="1"/>
  <c r="G41" i="1"/>
  <c r="C41" i="1"/>
  <c r="B41" i="1"/>
  <c r="D41" i="1" s="1"/>
  <c r="M40" i="1"/>
  <c r="L40" i="1"/>
  <c r="H40" i="1"/>
  <c r="G40" i="1"/>
  <c r="G42" i="1" s="1"/>
  <c r="C40" i="1"/>
  <c r="D40" i="1" s="1"/>
  <c r="B40" i="1"/>
  <c r="M39" i="1"/>
  <c r="L39" i="1"/>
  <c r="H39" i="1"/>
  <c r="G39" i="1"/>
  <c r="C39" i="1"/>
  <c r="B39" i="1"/>
  <c r="B42" i="1" s="1"/>
  <c r="H34" i="1"/>
  <c r="B34" i="1"/>
  <c r="M33" i="1"/>
  <c r="N33" i="1" s="1"/>
  <c r="L33" i="1"/>
  <c r="H33" i="1"/>
  <c r="G33" i="1"/>
  <c r="I33" i="1" s="1"/>
  <c r="C33" i="1"/>
  <c r="D33" i="1" s="1"/>
  <c r="B33" i="1"/>
  <c r="M32" i="1"/>
  <c r="L32" i="1"/>
  <c r="L34" i="1" s="1"/>
  <c r="H32" i="1"/>
  <c r="I32" i="1" s="1"/>
  <c r="G32" i="1"/>
  <c r="C32" i="1"/>
  <c r="B32" i="1"/>
  <c r="D32" i="1" s="1"/>
  <c r="M31" i="1"/>
  <c r="L31" i="1"/>
  <c r="H31" i="1"/>
  <c r="G31" i="1"/>
  <c r="G34" i="1" s="1"/>
  <c r="C31" i="1"/>
  <c r="B31" i="1"/>
  <c r="M25" i="1"/>
  <c r="L25" i="1"/>
  <c r="N25" i="1" s="1"/>
  <c r="H25" i="1"/>
  <c r="I25" i="1" s="1"/>
  <c r="G25" i="1"/>
  <c r="C25" i="1"/>
  <c r="B25" i="1"/>
  <c r="D25" i="1" s="1"/>
  <c r="M24" i="1"/>
  <c r="N24" i="1" s="1"/>
  <c r="L24" i="1"/>
  <c r="H24" i="1"/>
  <c r="G24" i="1"/>
  <c r="I24" i="1" s="1"/>
  <c r="C24" i="1"/>
  <c r="D24" i="1" s="1"/>
  <c r="B24" i="1"/>
  <c r="M23" i="1"/>
  <c r="L23" i="1"/>
  <c r="N23" i="1" s="1"/>
  <c r="H23" i="1"/>
  <c r="I23" i="1" s="1"/>
  <c r="G23" i="1"/>
  <c r="C23" i="1"/>
  <c r="B23" i="1"/>
  <c r="D23" i="1" s="1"/>
  <c r="M22" i="1"/>
  <c r="N22" i="1" s="1"/>
  <c r="L22" i="1"/>
  <c r="H22" i="1"/>
  <c r="G22" i="1"/>
  <c r="G26" i="1" s="1"/>
  <c r="C22" i="1"/>
  <c r="D22" i="1" s="1"/>
  <c r="B22" i="1"/>
  <c r="B26" i="1" s="1"/>
  <c r="M16" i="1"/>
  <c r="L16" i="1"/>
  <c r="N16" i="1" s="1"/>
  <c r="H16" i="1"/>
  <c r="I16" i="1" s="1"/>
  <c r="G16" i="1"/>
  <c r="C16" i="1"/>
  <c r="B16" i="1"/>
  <c r="D16" i="1" s="1"/>
  <c r="M15" i="1"/>
  <c r="N15" i="1" s="1"/>
  <c r="L15" i="1"/>
  <c r="H15" i="1"/>
  <c r="G15" i="1"/>
  <c r="I15" i="1" s="1"/>
  <c r="C15" i="1"/>
  <c r="D15" i="1" s="1"/>
  <c r="B15" i="1"/>
  <c r="M14" i="1"/>
  <c r="L14" i="1"/>
  <c r="N14" i="1" s="1"/>
  <c r="H14" i="1"/>
  <c r="I14" i="1" s="1"/>
  <c r="G14" i="1"/>
  <c r="C14" i="1"/>
  <c r="B14" i="1"/>
  <c r="D14" i="1" s="1"/>
  <c r="M13" i="1"/>
  <c r="N13" i="1" s="1"/>
  <c r="L13" i="1"/>
  <c r="H13" i="1"/>
  <c r="G13" i="1"/>
  <c r="G17" i="1" s="1"/>
  <c r="C13" i="1"/>
  <c r="D13" i="1" s="1"/>
  <c r="B13" i="1"/>
  <c r="B17" i="1" s="1"/>
  <c r="M7" i="1"/>
  <c r="L7" i="1"/>
  <c r="N7" i="1" s="1"/>
  <c r="H7" i="1"/>
  <c r="I7" i="1" s="1"/>
  <c r="G7" i="1"/>
  <c r="C7" i="1"/>
  <c r="B7" i="1"/>
  <c r="D7" i="1" s="1"/>
  <c r="M6" i="1"/>
  <c r="N6" i="1" s="1"/>
  <c r="L6" i="1"/>
  <c r="H6" i="1"/>
  <c r="G6" i="1"/>
  <c r="I6" i="1" s="1"/>
  <c r="C6" i="1"/>
  <c r="D6" i="1" s="1"/>
  <c r="B6" i="1"/>
  <c r="M5" i="1"/>
  <c r="L5" i="1"/>
  <c r="N5" i="1" s="1"/>
  <c r="H5" i="1"/>
  <c r="I5" i="1" s="1"/>
  <c r="G5" i="1"/>
  <c r="C5" i="1"/>
  <c r="B5" i="1"/>
  <c r="D5" i="1" s="1"/>
  <c r="M4" i="1"/>
  <c r="N4" i="1" s="1"/>
  <c r="L4" i="1"/>
  <c r="H4" i="1"/>
  <c r="G4" i="1"/>
  <c r="G8" i="1" s="1"/>
  <c r="C4" i="1"/>
  <c r="D4" i="1" s="1"/>
  <c r="B4" i="1"/>
  <c r="B8" i="1" s="1"/>
  <c r="I4" i="1" l="1"/>
  <c r="C8" i="1"/>
  <c r="I13" i="1"/>
  <c r="C17" i="1"/>
  <c r="I22" i="1"/>
  <c r="C26" i="1"/>
  <c r="I31" i="1"/>
  <c r="M34" i="1"/>
  <c r="N31" i="1"/>
  <c r="N32" i="1"/>
  <c r="I34" i="1"/>
  <c r="D39" i="1"/>
  <c r="H42" i="1"/>
  <c r="I39" i="1"/>
  <c r="I40" i="1"/>
  <c r="N40" i="1"/>
  <c r="M42" i="1"/>
  <c r="H8" i="1"/>
  <c r="L8" i="1"/>
  <c r="M8" i="1"/>
  <c r="H17" i="1"/>
  <c r="L17" i="1"/>
  <c r="M17" i="1"/>
  <c r="H26" i="1"/>
  <c r="L26" i="1"/>
  <c r="M26" i="1"/>
  <c r="C34" i="1"/>
  <c r="D31" i="1"/>
  <c r="H35" i="1"/>
  <c r="L42" i="1"/>
  <c r="N39" i="1"/>
  <c r="C42" i="1"/>
  <c r="C51" i="1"/>
  <c r="D50" i="1"/>
  <c r="M51" i="1"/>
  <c r="N50" i="1"/>
  <c r="I47" i="1"/>
  <c r="D48" i="1"/>
  <c r="N48" i="1"/>
  <c r="H50" i="1"/>
  <c r="D47" i="1"/>
  <c r="N47" i="1"/>
  <c r="I50" i="1" l="1"/>
  <c r="H51" i="1"/>
  <c r="D42" i="1"/>
  <c r="C43" i="1"/>
  <c r="N26" i="1"/>
  <c r="M27" i="1"/>
  <c r="H27" i="1"/>
  <c r="I26" i="1"/>
  <c r="N8" i="1"/>
  <c r="M9" i="1"/>
  <c r="H9" i="1"/>
  <c r="I8" i="1"/>
  <c r="M35" i="1"/>
  <c r="N34" i="1"/>
  <c r="D26" i="1"/>
  <c r="C27" i="1"/>
  <c r="D17" i="1"/>
  <c r="C18" i="1"/>
  <c r="D8" i="1"/>
  <c r="C9" i="1"/>
  <c r="C35" i="1"/>
  <c r="D34" i="1"/>
  <c r="N17" i="1"/>
  <c r="M18" i="1"/>
  <c r="H18" i="1"/>
  <c r="I17" i="1"/>
  <c r="N42" i="1"/>
  <c r="M43" i="1"/>
  <c r="H43" i="1"/>
  <c r="I42" i="1"/>
  <c r="L58" i="1" l="1"/>
  <c r="K58" i="1"/>
</calcChain>
</file>

<file path=xl/sharedStrings.xml><?xml version="1.0" encoding="utf-8"?>
<sst xmlns="http://schemas.openxmlformats.org/spreadsheetml/2006/main" count="198" uniqueCount="38">
  <si>
    <t>4 članska družina v bloku Deteljica (DN 20, 1100 l MKO zabojnik, 2X240 l BIO zabojnik)</t>
  </si>
  <si>
    <t>2 članska družina v bloku Deteljica (DN 20, 1100 l MKO zabojnik, 2X240 l BIO zabojnik)</t>
  </si>
  <si>
    <t>1 članska družina v bloku Deteljica (DN 20, 1100 l MKO zabojnik, 2X240 l BIO zabojnik)</t>
  </si>
  <si>
    <t>STORITEV GJS</t>
  </si>
  <si>
    <t>VELJAVNE CENE</t>
  </si>
  <si>
    <t>PREDLAGANE CENE</t>
  </si>
  <si>
    <t>INDEKS</t>
  </si>
  <si>
    <t>oskrba s pitno vodo</t>
  </si>
  <si>
    <t>odvajanje odpadnih vod</t>
  </si>
  <si>
    <t>čiščenje odpadnih vod</t>
  </si>
  <si>
    <t>ravnanje z odpadki</t>
  </si>
  <si>
    <t>SKUPAJ</t>
  </si>
  <si>
    <t>razlika</t>
  </si>
  <si>
    <t>4 članska družina v hiši s kanalizacijo (DN 20, 120 l MKO zabojnik, ni BIO zabojnika)</t>
  </si>
  <si>
    <t>2 članska družina v hiši s kanalizacijo (DN 20, 80 l MKO zabojnik, ni BIO zabojnika)</t>
  </si>
  <si>
    <t>1 članska družina v hiši s kanalizacijo (DN 20, 40 l MKO zabojnik, ni BIO zabojnika)</t>
  </si>
  <si>
    <t>4 članska družina v hiši s kanalizacijo (DN 20, 120 l MKO zabojnik, BIO 40 l zabojnika)</t>
  </si>
  <si>
    <t>2 članska družina v hiši s kanalizacijo (DN 20, 80 l MKO zabojnik, BIO 40 l zabojnika)</t>
  </si>
  <si>
    <t>1 članska družina v hiši s kanalizacijo (DN 20, 40 l MKO zabojnik, BIO 40 l zabojnika)</t>
  </si>
  <si>
    <t>4 članska družina v hiši z greznico (DN 20, 120 l MKO zabojnik, ni BIO zabojnika)</t>
  </si>
  <si>
    <t>2 članska družina v hiši z greznico (DN 20, 80 l MKO zabojnik, ni BIO zabojnika)</t>
  </si>
  <si>
    <t>1 članska družina v hiši z greznico (DN 20, 40 l MKO zabojnik, ni BIO zabojnika)</t>
  </si>
  <si>
    <t>storitev greznic in MKČN</t>
  </si>
  <si>
    <t>4 članska družina v hiši z greznico (DN 20, 120 l MKO zabojnik, BIO 40 l zabojnika)</t>
  </si>
  <si>
    <t>2 članska družina v hiši z greznico (DN 20, 80 l MKO zabojnik, BIO 40 l zabojnika)</t>
  </si>
  <si>
    <t>1 članska družina v hiši z greznico (DN 20, 40 l MKO zabojnik, BIO 40 l zabojnika)</t>
  </si>
  <si>
    <t>4 članska družina v bloku Cankarjeva 1 (DN 20, 2X1100 l MKO zabojnik, 2X240 l BIO zabojnik)</t>
  </si>
  <si>
    <t>2 članska družina v bloku Cankarjeva 1 (DN 20, 2X1100 l MKO zabojnik, 2X240 l BIO zabojnik)</t>
  </si>
  <si>
    <t>1 članska družina v bloku Cankarjeva 1 (DN 20, 2X1100 l MKO zabojnik, 2X240 l BIO zabojnik)</t>
  </si>
  <si>
    <t>CENA GJS</t>
  </si>
  <si>
    <t>DELEŽ</t>
  </si>
  <si>
    <t>BREZ DDV</t>
  </si>
  <si>
    <t>Z DDV</t>
  </si>
  <si>
    <t>PREDLOG SUBVENCIJE</t>
  </si>
  <si>
    <t>omrežnina vodooskrba</t>
  </si>
  <si>
    <t>vodarina</t>
  </si>
  <si>
    <t>omrežnina odvajanje</t>
  </si>
  <si>
    <t>odvajanje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</si>
</sst>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0.000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</cellStyleXfs>
  <cellXfs count="33">
    <xf numFmtId="0" fontId="0" fillId="0" borderId="0" xfId="0"/>
    <xf numFmtId="164" fontId="0" fillId="0" borderId="0" xfId="0" applyNumberFormat="1" applyAlignment="1">
      <alignment horizontal="center"/>
    </xf>
    <xf numFmtId="0" fontId="2" fillId="2" borderId="1" xfId="1" applyBorder="1" applyAlignment="1">
      <alignment horizontal="left" vertical="center" wrapText="1" readingOrder="1"/>
    </xf>
    <xf numFmtId="0" fontId="2" fillId="2" borderId="1" xfId="1" applyBorder="1" applyAlignment="1">
      <alignment horizontal="center" vertical="center" wrapText="1" readingOrder="1"/>
    </xf>
    <xf numFmtId="164" fontId="2" fillId="2" borderId="1" xfId="1" applyNumberFormat="1" applyBorder="1" applyAlignment="1">
      <alignment horizontal="center" vertical="center" wrapText="1" readingOrder="1"/>
    </xf>
    <xf numFmtId="0" fontId="2" fillId="2" borderId="2" xfId="1" applyBorder="1" applyAlignment="1">
      <alignment horizontal="left" vertical="center" wrapText="1" readingOrder="1"/>
    </xf>
    <xf numFmtId="8" fontId="3" fillId="5" borderId="2" xfId="4" applyNumberFormat="1" applyFont="1" applyBorder="1" applyAlignment="1">
      <alignment horizontal="center" vertical="center" wrapText="1" readingOrder="1"/>
    </xf>
    <xf numFmtId="164" fontId="3" fillId="5" borderId="2" xfId="4" applyNumberFormat="1" applyFont="1" applyBorder="1" applyAlignment="1">
      <alignment horizontal="center" vertical="center" wrapText="1" readingOrder="1"/>
    </xf>
    <xf numFmtId="0" fontId="2" fillId="2" borderId="3" xfId="1" applyBorder="1" applyAlignment="1">
      <alignment horizontal="left" vertical="center" wrapText="1" readingOrder="1"/>
    </xf>
    <xf numFmtId="8" fontId="3" fillId="4" borderId="3" xfId="3" applyNumberFormat="1" applyFont="1" applyBorder="1" applyAlignment="1">
      <alignment horizontal="center" vertical="center" wrapText="1" readingOrder="1"/>
    </xf>
    <xf numFmtId="164" fontId="3" fillId="4" borderId="2" xfId="3" applyNumberFormat="1" applyFont="1" applyBorder="1" applyAlignment="1">
      <alignment horizontal="center" vertical="center" wrapText="1" readingOrder="1"/>
    </xf>
    <xf numFmtId="8" fontId="3" fillId="5" borderId="3" xfId="4" applyNumberFormat="1" applyFont="1" applyBorder="1" applyAlignment="1">
      <alignment horizontal="center" vertical="center" wrapText="1" readingOrder="1"/>
    </xf>
    <xf numFmtId="0" fontId="2" fillId="2" borderId="3" xfId="1" applyBorder="1" applyAlignment="1">
      <alignment wrapText="1"/>
    </xf>
    <xf numFmtId="0" fontId="3" fillId="3" borderId="3" xfId="2" applyFont="1" applyBorder="1" applyAlignment="1">
      <alignment horizontal="right" vertical="center" wrapText="1" readingOrder="1"/>
    </xf>
    <xf numFmtId="8" fontId="4" fillId="3" borderId="3" xfId="2" applyNumberFormat="1" applyFont="1" applyBorder="1" applyAlignment="1">
      <alignment horizontal="center" vertical="center" wrapText="1" readingOrder="1"/>
    </xf>
    <xf numFmtId="164" fontId="3" fillId="3" borderId="3" xfId="2" applyNumberFormat="1" applyFont="1" applyBorder="1" applyAlignment="1">
      <alignment horizontal="center" wrapText="1"/>
    </xf>
    <xf numFmtId="8" fontId="1" fillId="3" borderId="3" xfId="2" applyNumberFormat="1" applyBorder="1" applyAlignment="1">
      <alignment horizontal="center" vertical="center" wrapText="1" readingOrder="1"/>
    </xf>
    <xf numFmtId="8" fontId="5" fillId="3" borderId="3" xfId="2" applyNumberFormat="1" applyFont="1" applyBorder="1" applyAlignment="1">
      <alignment horizontal="center" vertical="center" wrapText="1" readingOrder="1"/>
    </xf>
    <xf numFmtId="164" fontId="1" fillId="3" borderId="2" xfId="2" applyNumberFormat="1" applyBorder="1" applyAlignment="1">
      <alignment horizontal="center" vertical="center" wrapText="1" readingOrder="1"/>
    </xf>
    <xf numFmtId="0" fontId="3" fillId="2" borderId="0" xfId="1" applyFont="1" applyBorder="1" applyAlignment="1">
      <alignment horizontal="left" vertical="center" wrapText="1" readingOrder="1"/>
    </xf>
    <xf numFmtId="0" fontId="6" fillId="2" borderId="0" xfId="1" applyFont="1" applyBorder="1" applyAlignment="1">
      <alignment horizontal="left" vertical="center" wrapText="1" readingOrder="1"/>
    </xf>
    <xf numFmtId="0" fontId="6" fillId="2" borderId="0" xfId="1" applyFont="1" applyBorder="1" applyAlignment="1">
      <alignment horizontal="center" vertical="center" wrapText="1" readingOrder="1"/>
    </xf>
    <xf numFmtId="0" fontId="6" fillId="2" borderId="0" xfId="1" applyFont="1" applyBorder="1" applyAlignment="1">
      <alignment horizontal="center" vertical="center" wrapText="1" readingOrder="1"/>
    </xf>
    <xf numFmtId="0" fontId="7" fillId="4" borderId="0" xfId="3" applyFont="1" applyAlignment="1">
      <alignment horizontal="left"/>
    </xf>
    <xf numFmtId="10" fontId="7" fillId="4" borderId="0" xfId="3" applyNumberFormat="1" applyFont="1"/>
    <xf numFmtId="0" fontId="1" fillId="4" borderId="0" xfId="3"/>
    <xf numFmtId="4" fontId="7" fillId="4" borderId="0" xfId="3" applyNumberFormat="1" applyFont="1" applyAlignment="1">
      <alignment horizontal="center" readingOrder="1"/>
    </xf>
    <xf numFmtId="0" fontId="7" fillId="5" borderId="0" xfId="4" applyFont="1" applyAlignment="1">
      <alignment horizontal="left"/>
    </xf>
    <xf numFmtId="10" fontId="7" fillId="5" borderId="0" xfId="4" applyNumberFormat="1" applyFont="1"/>
    <xf numFmtId="0" fontId="2" fillId="5" borderId="0" xfId="4"/>
    <xf numFmtId="4" fontId="7" fillId="5" borderId="0" xfId="4" applyNumberFormat="1" applyFont="1" applyAlignment="1">
      <alignment horizontal="center" readingOrder="1"/>
    </xf>
    <xf numFmtId="0" fontId="2" fillId="2" borderId="0" xfId="1"/>
    <xf numFmtId="4" fontId="6" fillId="2" borderId="0" xfId="1" applyNumberFormat="1" applyFont="1" applyAlignment="1">
      <alignment horizontal="center" readingOrder="1"/>
    </xf>
  </cellXfs>
  <cellStyles count="5">
    <cellStyle name="20 % – Poudarek6" xfId="2" builtinId="50"/>
    <cellStyle name="40 % – Poudarek6" xfId="3" builtinId="51"/>
    <cellStyle name="60 % – Poudarek6" xfId="4" builtinId="52"/>
    <cellStyle name="Navadno" xfId="0" builtinId="0"/>
    <cellStyle name="Poudarek6" xfId="1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workbookViewId="0">
      <selection activeCell="C15" sqref="C15"/>
    </sheetView>
  </sheetViews>
  <sheetFormatPr defaultRowHeight="15" x14ac:dyDescent="0.25"/>
  <cols>
    <col min="1" max="1" width="24.7109375" customWidth="1"/>
    <col min="2" max="2" width="21.85546875" customWidth="1"/>
    <col min="3" max="3" width="18.85546875" customWidth="1"/>
    <col min="4" max="4" width="13.5703125" customWidth="1"/>
    <col min="5" max="5" width="4.5703125" customWidth="1"/>
    <col min="6" max="6" width="25.140625" customWidth="1"/>
    <col min="7" max="7" width="25.28515625" customWidth="1"/>
    <col min="8" max="8" width="27.28515625" customWidth="1"/>
    <col min="9" max="9" width="14" customWidth="1"/>
    <col min="10" max="10" width="4.42578125" customWidth="1"/>
    <col min="11" max="11" width="24.42578125" customWidth="1"/>
    <col min="12" max="12" width="21.7109375" customWidth="1"/>
    <col min="13" max="13" width="22.28515625" customWidth="1"/>
    <col min="14" max="14" width="14.28515625" customWidth="1"/>
  </cols>
  <sheetData>
    <row r="2" spans="1:14" ht="15.75" thickBot="1" x14ac:dyDescent="0.3">
      <c r="A2" t="s">
        <v>0</v>
      </c>
      <c r="D2" s="1"/>
      <c r="F2" t="s">
        <v>1</v>
      </c>
      <c r="I2" s="1"/>
      <c r="K2" t="s">
        <v>2</v>
      </c>
      <c r="N2" s="1"/>
    </row>
    <row r="3" spans="1:14" ht="20.25" customHeight="1" thickBot="1" x14ac:dyDescent="0.3">
      <c r="A3" s="2" t="s">
        <v>3</v>
      </c>
      <c r="B3" s="3" t="s">
        <v>4</v>
      </c>
      <c r="C3" s="3" t="s">
        <v>5</v>
      </c>
      <c r="D3" s="4" t="s">
        <v>6</v>
      </c>
      <c r="F3" s="2" t="s">
        <v>3</v>
      </c>
      <c r="G3" s="3" t="s">
        <v>4</v>
      </c>
      <c r="H3" s="3" t="s">
        <v>5</v>
      </c>
      <c r="I3" s="4" t="s">
        <v>6</v>
      </c>
      <c r="K3" s="2" t="s">
        <v>3</v>
      </c>
      <c r="L3" s="3" t="s">
        <v>4</v>
      </c>
      <c r="M3" s="3" t="s">
        <v>5</v>
      </c>
      <c r="N3" s="4" t="s">
        <v>6</v>
      </c>
    </row>
    <row r="4" spans="1:14" ht="16.5" thickTop="1" thickBot="1" x14ac:dyDescent="0.3">
      <c r="A4" s="5" t="s">
        <v>7</v>
      </c>
      <c r="B4" s="6">
        <f>9.25*1.095</f>
        <v>10.12875</v>
      </c>
      <c r="C4" s="6">
        <f>11.82*1.095</f>
        <v>12.9429</v>
      </c>
      <c r="D4" s="7">
        <f>C4/B4</f>
        <v>1.2778378378378379</v>
      </c>
      <c r="F4" s="5" t="s">
        <v>7</v>
      </c>
      <c r="G4" s="6">
        <f>5.87*1.095</f>
        <v>6.4276499999999999</v>
      </c>
      <c r="H4" s="6">
        <f>8.22*1.095</f>
        <v>9.0008999999999997</v>
      </c>
      <c r="I4" s="7">
        <f>H4/G4</f>
        <v>1.4003407155025553</v>
      </c>
      <c r="K4" s="5" t="s">
        <v>7</v>
      </c>
      <c r="L4" s="6">
        <f>4.18*1.095</f>
        <v>4.5770999999999997</v>
      </c>
      <c r="M4" s="6">
        <f>6.43*1.095</f>
        <v>7.0408499999999998</v>
      </c>
      <c r="N4" s="7">
        <f>M4/L4</f>
        <v>1.5382775119617225</v>
      </c>
    </row>
    <row r="5" spans="1:14" ht="16.5" thickTop="1" thickBot="1" x14ac:dyDescent="0.3">
      <c r="A5" s="8" t="s">
        <v>8</v>
      </c>
      <c r="B5" s="9">
        <f>6.22*1.095+0.88</f>
        <v>7.6908999999999992</v>
      </c>
      <c r="C5" s="9">
        <f>8.35*1.095+0.88</f>
        <v>10.023250000000001</v>
      </c>
      <c r="D5" s="10">
        <f t="shared" ref="D5:D8" si="0">C5/B5</f>
        <v>1.3032609967624078</v>
      </c>
      <c r="F5" s="8" t="s">
        <v>8</v>
      </c>
      <c r="G5" s="9">
        <f>4.27*1.095+0.43</f>
        <v>5.1056499999999989</v>
      </c>
      <c r="H5" s="9">
        <f>6.34*1.095+0.43</f>
        <v>7.3722999999999992</v>
      </c>
      <c r="I5" s="10">
        <f t="shared" ref="I5:I8" si="1">H5/G5</f>
        <v>1.4439493502296477</v>
      </c>
      <c r="K5" s="8" t="s">
        <v>8</v>
      </c>
      <c r="L5" s="9">
        <f>3.3*1.095+0.21</f>
        <v>3.8234999999999997</v>
      </c>
      <c r="M5" s="9">
        <f>5.33*1.095+0.21</f>
        <v>6.0463500000000003</v>
      </c>
      <c r="N5" s="10">
        <f t="shared" ref="N5:N8" si="2">M5/L5</f>
        <v>1.581365241271087</v>
      </c>
    </row>
    <row r="6" spans="1:14" ht="16.5" thickTop="1" thickBot="1" x14ac:dyDescent="0.3">
      <c r="A6" s="8" t="s">
        <v>9</v>
      </c>
      <c r="B6" s="11">
        <f>9.27*1.095</f>
        <v>10.150649999999999</v>
      </c>
      <c r="C6" s="11">
        <f>9.81*1.095</f>
        <v>10.741950000000001</v>
      </c>
      <c r="D6" s="7">
        <f t="shared" si="0"/>
        <v>1.0582524271844662</v>
      </c>
      <c r="F6" s="8" t="s">
        <v>9</v>
      </c>
      <c r="G6" s="11">
        <f>5.48*1.095</f>
        <v>6.0006000000000004</v>
      </c>
      <c r="H6" s="11">
        <f>6.33*1.095</f>
        <v>6.9313500000000001</v>
      </c>
      <c r="I6" s="7">
        <f t="shared" si="1"/>
        <v>1.1551094890510949</v>
      </c>
      <c r="K6" s="8" t="s">
        <v>9</v>
      </c>
      <c r="L6" s="11">
        <f>3.59*1.095</f>
        <v>3.9310499999999999</v>
      </c>
      <c r="M6" s="11">
        <f>4.58*1.095</f>
        <v>5.0151000000000003</v>
      </c>
      <c r="N6" s="7">
        <f t="shared" si="2"/>
        <v>1.275766016713092</v>
      </c>
    </row>
    <row r="7" spans="1:14" ht="16.5" thickTop="1" thickBot="1" x14ac:dyDescent="0.3">
      <c r="A7" s="8" t="s">
        <v>10</v>
      </c>
      <c r="B7" s="9">
        <f>14.83*1.095</f>
        <v>16.238849999999999</v>
      </c>
      <c r="C7" s="9">
        <f>11.38*1.095</f>
        <v>12.4611</v>
      </c>
      <c r="D7" s="10">
        <f t="shared" si="0"/>
        <v>0.76736345246122728</v>
      </c>
      <c r="F7" s="8" t="s">
        <v>10</v>
      </c>
      <c r="G7" s="9">
        <f>7.41*1.095</f>
        <v>8.1139499999999991</v>
      </c>
      <c r="H7" s="9">
        <f>5.69*1.095</f>
        <v>6.23055</v>
      </c>
      <c r="I7" s="10">
        <f t="shared" si="1"/>
        <v>0.76788124156545223</v>
      </c>
      <c r="K7" s="8" t="s">
        <v>10</v>
      </c>
      <c r="L7" s="9">
        <f>3.7*1.095</f>
        <v>4.0514999999999999</v>
      </c>
      <c r="M7" s="9">
        <f>2.84*1.095</f>
        <v>3.1097999999999999</v>
      </c>
      <c r="N7" s="10">
        <f t="shared" si="2"/>
        <v>0.76756756756756761</v>
      </c>
    </row>
    <row r="8" spans="1:14" ht="16.5" thickTop="1" thickBot="1" x14ac:dyDescent="0.3">
      <c r="A8" s="8" t="s">
        <v>11</v>
      </c>
      <c r="B8" s="11">
        <f>SUM(B4:B7)</f>
        <v>44.209149999999994</v>
      </c>
      <c r="C8" s="11">
        <f>SUM(C4:C7)</f>
        <v>46.169200000000004</v>
      </c>
      <c r="D8" s="7">
        <f t="shared" si="0"/>
        <v>1.0443358445027784</v>
      </c>
      <c r="F8" s="8" t="s">
        <v>11</v>
      </c>
      <c r="G8" s="11">
        <f>SUM(G4:G7)</f>
        <v>25.647849999999998</v>
      </c>
      <c r="H8" s="11">
        <f>SUM(H4:H7)</f>
        <v>29.5351</v>
      </c>
      <c r="I8" s="7">
        <f t="shared" si="1"/>
        <v>1.1515624116641356</v>
      </c>
      <c r="K8" s="8" t="s">
        <v>11</v>
      </c>
      <c r="L8" s="11">
        <f>SUM(L4:L7)</f>
        <v>16.383150000000001</v>
      </c>
      <c r="M8" s="11">
        <f>SUM(M4:M7)</f>
        <v>21.2121</v>
      </c>
      <c r="N8" s="7">
        <f t="shared" si="2"/>
        <v>1.2947510094212651</v>
      </c>
    </row>
    <row r="9" spans="1:14" ht="16.5" thickBot="1" x14ac:dyDescent="0.3">
      <c r="A9" s="12"/>
      <c r="B9" s="13" t="s">
        <v>12</v>
      </c>
      <c r="C9" s="14">
        <f>C8-B8</f>
        <v>1.9600500000000096</v>
      </c>
      <c r="D9" s="15"/>
      <c r="F9" s="12"/>
      <c r="G9" s="13" t="s">
        <v>12</v>
      </c>
      <c r="H9" s="14">
        <f>H8-G8</f>
        <v>3.8872500000000016</v>
      </c>
      <c r="I9" s="15"/>
      <c r="K9" s="12"/>
      <c r="L9" s="13" t="s">
        <v>12</v>
      </c>
      <c r="M9" s="14">
        <f>M8-L8</f>
        <v>4.828949999999999</v>
      </c>
      <c r="N9" s="15"/>
    </row>
    <row r="10" spans="1:14" x14ac:dyDescent="0.25">
      <c r="D10" s="1"/>
      <c r="I10" s="1"/>
      <c r="N10" s="1"/>
    </row>
    <row r="11" spans="1:14" ht="15.75" thickBot="1" x14ac:dyDescent="0.3">
      <c r="A11" t="s">
        <v>13</v>
      </c>
      <c r="D11" s="1"/>
      <c r="F11" t="s">
        <v>14</v>
      </c>
      <c r="I11" s="1"/>
      <c r="K11" t="s">
        <v>15</v>
      </c>
      <c r="N11" s="1"/>
    </row>
    <row r="12" spans="1:14" ht="20.25" customHeight="1" thickBot="1" x14ac:dyDescent="0.3">
      <c r="A12" s="2" t="s">
        <v>3</v>
      </c>
      <c r="B12" s="3" t="s">
        <v>4</v>
      </c>
      <c r="C12" s="3" t="s">
        <v>5</v>
      </c>
      <c r="D12" s="4" t="s">
        <v>6</v>
      </c>
      <c r="F12" s="2" t="s">
        <v>3</v>
      </c>
      <c r="G12" s="3" t="s">
        <v>4</v>
      </c>
      <c r="H12" s="3" t="s">
        <v>5</v>
      </c>
      <c r="I12" s="4" t="s">
        <v>6</v>
      </c>
      <c r="K12" s="2" t="s">
        <v>3</v>
      </c>
      <c r="L12" s="3" t="s">
        <v>4</v>
      </c>
      <c r="M12" s="3" t="s">
        <v>5</v>
      </c>
      <c r="N12" s="4" t="s">
        <v>6</v>
      </c>
    </row>
    <row r="13" spans="1:14" ht="16.5" thickTop="1" thickBot="1" x14ac:dyDescent="0.3">
      <c r="A13" s="5" t="s">
        <v>7</v>
      </c>
      <c r="B13" s="6">
        <f>11.38*1.095</f>
        <v>12.4611</v>
      </c>
      <c r="C13" s="6">
        <f>11.82*1.095</f>
        <v>12.9429</v>
      </c>
      <c r="D13" s="7">
        <f>C13/B13</f>
        <v>1.0386643233743409</v>
      </c>
      <c r="F13" s="5" t="s">
        <v>7</v>
      </c>
      <c r="G13" s="6">
        <f>8.01*1.095</f>
        <v>8.7709499999999991</v>
      </c>
      <c r="H13" s="6">
        <f>8.22*1.095</f>
        <v>9.0008999999999997</v>
      </c>
      <c r="I13" s="7">
        <f>H13/G13</f>
        <v>1.0262172284644195</v>
      </c>
      <c r="K13" s="5" t="s">
        <v>7</v>
      </c>
      <c r="L13" s="6">
        <f>6.31*1.095</f>
        <v>6.9094499999999996</v>
      </c>
      <c r="M13" s="6">
        <f>6.42*1.095</f>
        <v>7.0298999999999996</v>
      </c>
      <c r="N13" s="7">
        <f>M13/L13</f>
        <v>1.0174326465927099</v>
      </c>
    </row>
    <row r="14" spans="1:14" ht="16.5" thickTop="1" thickBot="1" x14ac:dyDescent="0.3">
      <c r="A14" s="8" t="s">
        <v>8</v>
      </c>
      <c r="B14" s="9">
        <f>8.2*1.095+0.88</f>
        <v>9.859</v>
      </c>
      <c r="C14" s="9">
        <f>8.35*1.095+0.88</f>
        <v>10.023250000000001</v>
      </c>
      <c r="D14" s="10">
        <f t="shared" ref="D14:D17" si="3">C14/B14</f>
        <v>1.0166599046556446</v>
      </c>
      <c r="F14" s="8" t="s">
        <v>8</v>
      </c>
      <c r="G14" s="9">
        <f>6.26*1.095+0.43</f>
        <v>7.2846999999999991</v>
      </c>
      <c r="H14" s="9">
        <f>6.33*1.095+0.43</f>
        <v>7.3613499999999998</v>
      </c>
      <c r="I14" s="10">
        <f t="shared" ref="I14:I17" si="4">H14/G14</f>
        <v>1.0105220530701333</v>
      </c>
      <c r="K14" s="8" t="s">
        <v>8</v>
      </c>
      <c r="L14" s="9">
        <f>5.29*1.095+0.21</f>
        <v>6.0025500000000003</v>
      </c>
      <c r="M14" s="9">
        <f>5.33*1.095+0.21</f>
        <v>6.0463500000000003</v>
      </c>
      <c r="N14" s="10">
        <f t="shared" ref="N14:N17" si="5">M14/L14</f>
        <v>1.0072968988180024</v>
      </c>
    </row>
    <row r="15" spans="1:14" ht="16.5" thickTop="1" thickBot="1" x14ac:dyDescent="0.3">
      <c r="A15" s="8" t="s">
        <v>9</v>
      </c>
      <c r="B15" s="11">
        <f>10.72*1.095</f>
        <v>11.7384</v>
      </c>
      <c r="C15" s="11">
        <f>9.81*1.095</f>
        <v>10.741950000000001</v>
      </c>
      <c r="D15" s="7">
        <f t="shared" si="3"/>
        <v>0.91511194029850751</v>
      </c>
      <c r="F15" s="8" t="s">
        <v>9</v>
      </c>
      <c r="G15" s="11">
        <f>6.93*1.095</f>
        <v>7.5883499999999993</v>
      </c>
      <c r="H15" s="11">
        <f>6.33*1.095</f>
        <v>6.9313500000000001</v>
      </c>
      <c r="I15" s="7">
        <f t="shared" si="4"/>
        <v>0.91341991341991358</v>
      </c>
      <c r="K15" s="8" t="s">
        <v>9</v>
      </c>
      <c r="L15" s="11">
        <f>5.03*1.095</f>
        <v>5.5078500000000004</v>
      </c>
      <c r="M15" s="11">
        <f>4.58*1.095</f>
        <v>5.0151000000000003</v>
      </c>
      <c r="N15" s="7">
        <f t="shared" si="5"/>
        <v>0.91053677932405563</v>
      </c>
    </row>
    <row r="16" spans="1:14" ht="16.5" thickTop="1" thickBot="1" x14ac:dyDescent="0.3">
      <c r="A16" s="8" t="s">
        <v>10</v>
      </c>
      <c r="B16" s="9">
        <f>9.89*1.095</f>
        <v>10.829550000000001</v>
      </c>
      <c r="C16" s="9">
        <f>9.8*1.095</f>
        <v>10.731</v>
      </c>
      <c r="D16" s="10">
        <f t="shared" si="3"/>
        <v>0.99089989888776531</v>
      </c>
      <c r="F16" s="8" t="s">
        <v>10</v>
      </c>
      <c r="G16" s="9">
        <f>4.95*1.095</f>
        <v>5.4202500000000002</v>
      </c>
      <c r="H16" s="9">
        <f>6.54*1.095</f>
        <v>7.1612999999999998</v>
      </c>
      <c r="I16" s="10">
        <f t="shared" si="4"/>
        <v>1.3212121212121211</v>
      </c>
      <c r="K16" s="8" t="s">
        <v>10</v>
      </c>
      <c r="L16" s="9">
        <f>2.47*1.095</f>
        <v>2.70465</v>
      </c>
      <c r="M16" s="9">
        <f>3.26*1.095</f>
        <v>3.5696999999999997</v>
      </c>
      <c r="N16" s="10">
        <f t="shared" si="5"/>
        <v>1.3198380566801617</v>
      </c>
    </row>
    <row r="17" spans="1:14" ht="16.5" thickTop="1" thickBot="1" x14ac:dyDescent="0.3">
      <c r="A17" s="8" t="s">
        <v>11</v>
      </c>
      <c r="B17" s="11">
        <f>SUM(B13:B16)</f>
        <v>44.888050000000007</v>
      </c>
      <c r="C17" s="11">
        <f>SUM(C13:C16)</f>
        <v>44.439100000000003</v>
      </c>
      <c r="D17" s="7">
        <f t="shared" si="3"/>
        <v>0.98999845170373846</v>
      </c>
      <c r="F17" s="8" t="s">
        <v>11</v>
      </c>
      <c r="G17" s="11">
        <f>SUM(G13:G16)</f>
        <v>29.064249999999998</v>
      </c>
      <c r="H17" s="11">
        <f>SUM(H13:H16)</f>
        <v>30.454899999999999</v>
      </c>
      <c r="I17" s="7">
        <f t="shared" si="4"/>
        <v>1.0478474414443861</v>
      </c>
      <c r="K17" s="8" t="s">
        <v>11</v>
      </c>
      <c r="L17" s="11">
        <f>SUM(L13:L16)</f>
        <v>21.124500000000001</v>
      </c>
      <c r="M17" s="11">
        <f>SUM(M13:M16)</f>
        <v>21.661049999999999</v>
      </c>
      <c r="N17" s="7">
        <f t="shared" si="5"/>
        <v>1.0253994177376979</v>
      </c>
    </row>
    <row r="18" spans="1:14" ht="16.5" thickBot="1" x14ac:dyDescent="0.3">
      <c r="A18" s="12"/>
      <c r="B18" s="13" t="s">
        <v>12</v>
      </c>
      <c r="C18" s="14">
        <f>C17-B17</f>
        <v>-0.44895000000000351</v>
      </c>
      <c r="D18" s="15"/>
      <c r="F18" s="12"/>
      <c r="G18" s="13" t="s">
        <v>12</v>
      </c>
      <c r="H18" s="14">
        <f>H17-G17</f>
        <v>1.3906500000000008</v>
      </c>
      <c r="I18" s="15"/>
      <c r="K18" s="12"/>
      <c r="L18" s="13" t="s">
        <v>12</v>
      </c>
      <c r="M18" s="14">
        <f>M17-L17</f>
        <v>0.53654999999999831</v>
      </c>
      <c r="N18" s="15"/>
    </row>
    <row r="19" spans="1:14" x14ac:dyDescent="0.25">
      <c r="D19" s="1"/>
      <c r="I19" s="1"/>
      <c r="N19" s="1"/>
    </row>
    <row r="20" spans="1:14" ht="15.75" thickBot="1" x14ac:dyDescent="0.3">
      <c r="A20" t="s">
        <v>16</v>
      </c>
      <c r="D20" s="1"/>
      <c r="F20" t="s">
        <v>17</v>
      </c>
      <c r="I20" s="1"/>
      <c r="K20" t="s">
        <v>18</v>
      </c>
      <c r="N20" s="1"/>
    </row>
    <row r="21" spans="1:14" ht="21.75" customHeight="1" thickBot="1" x14ac:dyDescent="0.3">
      <c r="A21" s="2" t="s">
        <v>3</v>
      </c>
      <c r="B21" s="3" t="s">
        <v>4</v>
      </c>
      <c r="C21" s="3" t="s">
        <v>5</v>
      </c>
      <c r="D21" s="4" t="s">
        <v>6</v>
      </c>
      <c r="F21" s="2" t="s">
        <v>3</v>
      </c>
      <c r="G21" s="3" t="s">
        <v>4</v>
      </c>
      <c r="H21" s="3" t="s">
        <v>5</v>
      </c>
      <c r="I21" s="4" t="s">
        <v>6</v>
      </c>
      <c r="K21" s="2" t="s">
        <v>3</v>
      </c>
      <c r="L21" s="3" t="s">
        <v>4</v>
      </c>
      <c r="M21" s="3" t="s">
        <v>5</v>
      </c>
      <c r="N21" s="4" t="s">
        <v>6</v>
      </c>
    </row>
    <row r="22" spans="1:14" ht="16.5" thickTop="1" thickBot="1" x14ac:dyDescent="0.3">
      <c r="A22" s="5" t="s">
        <v>7</v>
      </c>
      <c r="B22" s="6">
        <f>11.38*1.095</f>
        <v>12.4611</v>
      </c>
      <c r="C22" s="6">
        <f>11.36*1.095</f>
        <v>12.4392</v>
      </c>
      <c r="D22" s="7">
        <f>C22/B22</f>
        <v>0.99824253075571179</v>
      </c>
      <c r="F22" s="5" t="s">
        <v>7</v>
      </c>
      <c r="G22" s="6">
        <f>8.01*1.095</f>
        <v>8.7709499999999991</v>
      </c>
      <c r="H22" s="6">
        <f>8.22*1.095</f>
        <v>9.0008999999999997</v>
      </c>
      <c r="I22" s="7">
        <f>H22/G22</f>
        <v>1.0262172284644195</v>
      </c>
      <c r="K22" s="5" t="s">
        <v>7</v>
      </c>
      <c r="L22" s="6">
        <f>6.31*1.095</f>
        <v>6.9094499999999996</v>
      </c>
      <c r="M22" s="6">
        <f>6.42*1.095</f>
        <v>7.0298999999999996</v>
      </c>
      <c r="N22" s="7">
        <f>M22/L22</f>
        <v>1.0174326465927099</v>
      </c>
    </row>
    <row r="23" spans="1:14" ht="16.5" thickTop="1" thickBot="1" x14ac:dyDescent="0.3">
      <c r="A23" s="8" t="s">
        <v>8</v>
      </c>
      <c r="B23" s="9">
        <f>8.2*1.095+0.88</f>
        <v>9.859</v>
      </c>
      <c r="C23" s="9">
        <f>8.35*1.095+0.88</f>
        <v>10.023250000000001</v>
      </c>
      <c r="D23" s="10">
        <f t="shared" ref="D23:D26" si="6">C23/B23</f>
        <v>1.0166599046556446</v>
      </c>
      <c r="F23" s="8" t="s">
        <v>8</v>
      </c>
      <c r="G23" s="9">
        <f>6.26*1.095+0.43</f>
        <v>7.2846999999999991</v>
      </c>
      <c r="H23" s="9">
        <f>6.33*1.095+0.43</f>
        <v>7.3613499999999998</v>
      </c>
      <c r="I23" s="10">
        <f t="shared" ref="I23:I26" si="7">H23/G23</f>
        <v>1.0105220530701333</v>
      </c>
      <c r="K23" s="8" t="s">
        <v>8</v>
      </c>
      <c r="L23" s="9">
        <f>5.29*1.095+0.21</f>
        <v>6.0025500000000003</v>
      </c>
      <c r="M23" s="9">
        <f>5.33*1.095+0.21</f>
        <v>6.0463500000000003</v>
      </c>
      <c r="N23" s="10">
        <f t="shared" ref="N23:N26" si="8">M23/L23</f>
        <v>1.0072968988180024</v>
      </c>
    </row>
    <row r="24" spans="1:14" ht="16.5" thickTop="1" thickBot="1" x14ac:dyDescent="0.3">
      <c r="A24" s="8" t="s">
        <v>9</v>
      </c>
      <c r="B24" s="11">
        <f>10.72*1.095</f>
        <v>11.7384</v>
      </c>
      <c r="C24" s="11">
        <f>9.81*1.095</f>
        <v>10.741950000000001</v>
      </c>
      <c r="D24" s="7">
        <f t="shared" si="6"/>
        <v>0.91511194029850751</v>
      </c>
      <c r="F24" s="8" t="s">
        <v>9</v>
      </c>
      <c r="G24" s="11">
        <f>6.93*1.095</f>
        <v>7.5883499999999993</v>
      </c>
      <c r="H24" s="11">
        <f>6.33*1.095</f>
        <v>6.9313500000000001</v>
      </c>
      <c r="I24" s="7">
        <f t="shared" si="7"/>
        <v>0.91341991341991358</v>
      </c>
      <c r="K24" s="8" t="s">
        <v>9</v>
      </c>
      <c r="L24" s="11">
        <f>5.03*1.095</f>
        <v>5.5078500000000004</v>
      </c>
      <c r="M24" s="11">
        <f>4.58*1.095</f>
        <v>5.0151000000000003</v>
      </c>
      <c r="N24" s="7">
        <f t="shared" si="8"/>
        <v>0.91053677932405563</v>
      </c>
    </row>
    <row r="25" spans="1:14" ht="16.5" thickTop="1" thickBot="1" x14ac:dyDescent="0.3">
      <c r="A25" s="8" t="s">
        <v>10</v>
      </c>
      <c r="B25" s="9">
        <f>14.83*1.095</f>
        <v>16.238849999999999</v>
      </c>
      <c r="C25" s="9">
        <f>15.11*1.095</f>
        <v>16.545449999999999</v>
      </c>
      <c r="D25" s="10">
        <f t="shared" si="6"/>
        <v>1.01888064733648</v>
      </c>
      <c r="F25" s="8" t="s">
        <v>10</v>
      </c>
      <c r="G25" s="9">
        <f>7.42*1.095</f>
        <v>8.1249000000000002</v>
      </c>
      <c r="H25" s="9">
        <f>11.86*1.095</f>
        <v>12.986699999999999</v>
      </c>
      <c r="I25" s="10">
        <f t="shared" si="7"/>
        <v>1.5983827493261453</v>
      </c>
      <c r="K25" s="8" t="s">
        <v>10</v>
      </c>
      <c r="L25" s="9">
        <f>3.71*1.095</f>
        <v>4.0624500000000001</v>
      </c>
      <c r="M25" s="9">
        <f>8.58*1.095</f>
        <v>9.3950999999999993</v>
      </c>
      <c r="N25" s="10">
        <f t="shared" si="8"/>
        <v>2.3126684636118595</v>
      </c>
    </row>
    <row r="26" spans="1:14" ht="16.5" thickTop="1" thickBot="1" x14ac:dyDescent="0.3">
      <c r="A26" s="8" t="s">
        <v>11</v>
      </c>
      <c r="B26" s="11">
        <f>SUM(B22:B25)</f>
        <v>50.297350000000002</v>
      </c>
      <c r="C26" s="11">
        <f>SUM(C22:C25)</f>
        <v>49.749849999999995</v>
      </c>
      <c r="D26" s="7">
        <f t="shared" si="6"/>
        <v>0.98911473467290012</v>
      </c>
      <c r="F26" s="8" t="s">
        <v>11</v>
      </c>
      <c r="G26" s="11">
        <f>SUM(G22:G25)</f>
        <v>31.768899999999999</v>
      </c>
      <c r="H26" s="11">
        <f>SUM(H22:H25)</f>
        <v>36.280299999999997</v>
      </c>
      <c r="I26" s="7">
        <f t="shared" si="7"/>
        <v>1.1420068053977317</v>
      </c>
      <c r="K26" s="8" t="s">
        <v>11</v>
      </c>
      <c r="L26" s="11">
        <f>SUM(L22:L25)</f>
        <v>22.482300000000002</v>
      </c>
      <c r="M26" s="11">
        <f>SUM(M22:M25)</f>
        <v>27.486449999999998</v>
      </c>
      <c r="N26" s="7">
        <f t="shared" si="8"/>
        <v>1.2225817643212658</v>
      </c>
    </row>
    <row r="27" spans="1:14" ht="16.5" thickBot="1" x14ac:dyDescent="0.3">
      <c r="A27" s="12"/>
      <c r="B27" s="13" t="s">
        <v>12</v>
      </c>
      <c r="C27" s="14">
        <f>C26-B26</f>
        <v>-0.54750000000000654</v>
      </c>
      <c r="D27" s="15"/>
      <c r="F27" s="12"/>
      <c r="G27" s="13" t="s">
        <v>12</v>
      </c>
      <c r="H27" s="14">
        <f>H26-G26</f>
        <v>4.5113999999999983</v>
      </c>
      <c r="I27" s="15"/>
      <c r="K27" s="12"/>
      <c r="L27" s="13" t="s">
        <v>12</v>
      </c>
      <c r="M27" s="14">
        <f>M26-L26</f>
        <v>5.0041499999999957</v>
      </c>
      <c r="N27" s="15"/>
    </row>
    <row r="28" spans="1:14" x14ac:dyDescent="0.25">
      <c r="D28" s="1"/>
      <c r="I28" s="1"/>
      <c r="N28" s="1"/>
    </row>
    <row r="29" spans="1:14" ht="15.75" thickBot="1" x14ac:dyDescent="0.3">
      <c r="A29" t="s">
        <v>19</v>
      </c>
      <c r="D29" s="1"/>
      <c r="F29" t="s">
        <v>20</v>
      </c>
      <c r="I29" s="1"/>
      <c r="K29" t="s">
        <v>21</v>
      </c>
      <c r="N29" s="1"/>
    </row>
    <row r="30" spans="1:14" ht="24" customHeight="1" thickBot="1" x14ac:dyDescent="0.3">
      <c r="A30" s="2" t="s">
        <v>3</v>
      </c>
      <c r="B30" s="3" t="s">
        <v>4</v>
      </c>
      <c r="C30" s="3" t="s">
        <v>5</v>
      </c>
      <c r="D30" s="4" t="s">
        <v>6</v>
      </c>
      <c r="F30" s="2" t="s">
        <v>3</v>
      </c>
      <c r="G30" s="3" t="s">
        <v>4</v>
      </c>
      <c r="H30" s="3" t="s">
        <v>5</v>
      </c>
      <c r="I30" s="4" t="s">
        <v>6</v>
      </c>
      <c r="K30" s="2" t="s">
        <v>3</v>
      </c>
      <c r="L30" s="3" t="s">
        <v>4</v>
      </c>
      <c r="M30" s="3" t="s">
        <v>5</v>
      </c>
      <c r="N30" s="4" t="s">
        <v>6</v>
      </c>
    </row>
    <row r="31" spans="1:14" ht="16.5" thickTop="1" thickBot="1" x14ac:dyDescent="0.3">
      <c r="A31" s="5" t="s">
        <v>7</v>
      </c>
      <c r="B31" s="6">
        <f>11.38*1.095</f>
        <v>12.4611</v>
      </c>
      <c r="C31" s="6">
        <f>11.81*1.095</f>
        <v>12.931950000000001</v>
      </c>
      <c r="D31" s="7">
        <f>C31/B31</f>
        <v>1.037785588752197</v>
      </c>
      <c r="F31" s="5" t="s">
        <v>7</v>
      </c>
      <c r="G31" s="6">
        <f>8.01*1.095</f>
        <v>8.7709499999999991</v>
      </c>
      <c r="H31" s="6">
        <f>8.22*1.095</f>
        <v>9.0008999999999997</v>
      </c>
      <c r="I31" s="7">
        <f>H31/G31</f>
        <v>1.0262172284644195</v>
      </c>
      <c r="K31" s="5" t="s">
        <v>7</v>
      </c>
      <c r="L31" s="6">
        <f>6.31*1.095</f>
        <v>6.9094499999999996</v>
      </c>
      <c r="M31" s="6">
        <f>6.42*1.095</f>
        <v>7.0298999999999996</v>
      </c>
      <c r="N31" s="7">
        <f>M31/L31</f>
        <v>1.0174326465927099</v>
      </c>
    </row>
    <row r="32" spans="1:14" ht="16.5" thickTop="1" thickBot="1" x14ac:dyDescent="0.3">
      <c r="A32" s="8" t="s">
        <v>22</v>
      </c>
      <c r="B32" s="9">
        <f>8.86*1.095+8.78+3.14</f>
        <v>21.621699999999997</v>
      </c>
      <c r="C32" s="9">
        <f>6.23*1.095+8.78+2.84*1.095</f>
        <v>18.711649999999999</v>
      </c>
      <c r="D32" s="10">
        <f t="shared" ref="D32:D34" si="9">C32/B32</f>
        <v>0.86541067538630179</v>
      </c>
      <c r="F32" s="8" t="s">
        <v>22</v>
      </c>
      <c r="G32" s="9">
        <f>4.43*1.095+4.39+3.14*1.095</f>
        <v>12.679149999999998</v>
      </c>
      <c r="H32" s="9">
        <f>3.11*1.095+4.39+2.84*1.095</f>
        <v>10.905249999999999</v>
      </c>
      <c r="I32" s="10">
        <f t="shared" ref="I32:I34" si="10">H32/G32</f>
        <v>0.86009314504521206</v>
      </c>
      <c r="K32" s="8" t="s">
        <v>22</v>
      </c>
      <c r="L32" s="9">
        <f>2.21*1.095+2.15+3.14*1.095</f>
        <v>8.0082500000000003</v>
      </c>
      <c r="M32" s="9">
        <f>1.55*1.095+2.19+2.84*1.095</f>
        <v>6.9970499999999998</v>
      </c>
      <c r="N32" s="10">
        <f t="shared" ref="N32:N34" si="11">M32/L32</f>
        <v>0.87373021571504383</v>
      </c>
    </row>
    <row r="33" spans="1:14" ht="16.5" thickTop="1" thickBot="1" x14ac:dyDescent="0.3">
      <c r="A33" s="8" t="s">
        <v>10</v>
      </c>
      <c r="B33" s="11">
        <f>9.89*1.095</f>
        <v>10.829550000000001</v>
      </c>
      <c r="C33" s="11">
        <f>9.8*1.095</f>
        <v>10.731</v>
      </c>
      <c r="D33" s="7">
        <f t="shared" si="9"/>
        <v>0.99089989888776531</v>
      </c>
      <c r="F33" s="8" t="s">
        <v>10</v>
      </c>
      <c r="G33" s="11">
        <f>4.94*1.095</f>
        <v>5.4093</v>
      </c>
      <c r="H33" s="11">
        <f>6.53*1.095</f>
        <v>7.1503500000000004</v>
      </c>
      <c r="I33" s="7">
        <f t="shared" si="10"/>
        <v>1.3218623481781377</v>
      </c>
      <c r="K33" s="8" t="s">
        <v>10</v>
      </c>
      <c r="L33" s="11">
        <f>2.47*1.095</f>
        <v>2.70465</v>
      </c>
      <c r="M33" s="11">
        <f>3.26*1.095</f>
        <v>3.5696999999999997</v>
      </c>
      <c r="N33" s="7">
        <f t="shared" si="11"/>
        <v>1.3198380566801617</v>
      </c>
    </row>
    <row r="34" spans="1:14" ht="16.5" thickTop="1" thickBot="1" x14ac:dyDescent="0.3">
      <c r="A34" s="8" t="s">
        <v>11</v>
      </c>
      <c r="B34" s="9">
        <f>SUM(B31:B33)</f>
        <v>44.912350000000004</v>
      </c>
      <c r="C34" s="9">
        <f>SUM(C31:C33)</f>
        <v>42.374600000000001</v>
      </c>
      <c r="D34" s="10">
        <f t="shared" si="9"/>
        <v>0.94349549734093174</v>
      </c>
      <c r="F34" s="8" t="s">
        <v>11</v>
      </c>
      <c r="G34" s="9">
        <f>SUM(G31:G33)</f>
        <v>26.859400000000001</v>
      </c>
      <c r="H34" s="9">
        <f>SUM(H31:H33)</f>
        <v>27.056499999999996</v>
      </c>
      <c r="I34" s="10">
        <f t="shared" si="10"/>
        <v>1.0073382130650721</v>
      </c>
      <c r="K34" s="8" t="s">
        <v>11</v>
      </c>
      <c r="L34" s="9">
        <f>SUM(L31:L33)</f>
        <v>17.622350000000001</v>
      </c>
      <c r="M34" s="9">
        <f>SUM(M31:M33)</f>
        <v>17.59665</v>
      </c>
      <c r="N34" s="10">
        <f t="shared" si="11"/>
        <v>0.99854162469818153</v>
      </c>
    </row>
    <row r="35" spans="1:14" ht="17.25" thickTop="1" thickBot="1" x14ac:dyDescent="0.3">
      <c r="A35" s="8"/>
      <c r="B35" s="16" t="s">
        <v>12</v>
      </c>
      <c r="C35" s="17">
        <f>C34-B34</f>
        <v>-2.5377500000000026</v>
      </c>
      <c r="D35" s="18"/>
      <c r="F35" s="8"/>
      <c r="G35" s="16" t="s">
        <v>12</v>
      </c>
      <c r="H35" s="14">
        <f>H34-G34</f>
        <v>0.19709999999999539</v>
      </c>
      <c r="I35" s="18"/>
      <c r="K35" s="8"/>
      <c r="L35" s="16" t="s">
        <v>12</v>
      </c>
      <c r="M35" s="14">
        <f>M34-L34</f>
        <v>-2.57000000000005E-2</v>
      </c>
      <c r="N35" s="18"/>
    </row>
    <row r="36" spans="1:14" x14ac:dyDescent="0.25">
      <c r="D36" s="1"/>
      <c r="I36" s="1"/>
      <c r="N36" s="1"/>
    </row>
    <row r="37" spans="1:14" ht="15.75" thickBot="1" x14ac:dyDescent="0.3">
      <c r="A37" t="s">
        <v>23</v>
      </c>
      <c r="D37" s="1"/>
      <c r="F37" t="s">
        <v>24</v>
      </c>
      <c r="I37" s="1"/>
      <c r="K37" t="s">
        <v>25</v>
      </c>
      <c r="N37" s="1"/>
    </row>
    <row r="38" spans="1:14" ht="18" customHeight="1" thickBot="1" x14ac:dyDescent="0.3">
      <c r="A38" s="2" t="s">
        <v>3</v>
      </c>
      <c r="B38" s="3" t="s">
        <v>4</v>
      </c>
      <c r="C38" s="3" t="s">
        <v>5</v>
      </c>
      <c r="D38" s="4" t="s">
        <v>6</v>
      </c>
      <c r="F38" s="2" t="s">
        <v>3</v>
      </c>
      <c r="G38" s="3" t="s">
        <v>4</v>
      </c>
      <c r="H38" s="3" t="s">
        <v>5</v>
      </c>
      <c r="I38" s="4" t="s">
        <v>6</v>
      </c>
      <c r="K38" s="2" t="s">
        <v>3</v>
      </c>
      <c r="L38" s="3" t="s">
        <v>4</v>
      </c>
      <c r="M38" s="3" t="s">
        <v>5</v>
      </c>
      <c r="N38" s="4" t="s">
        <v>6</v>
      </c>
    </row>
    <row r="39" spans="1:14" ht="16.5" thickTop="1" thickBot="1" x14ac:dyDescent="0.3">
      <c r="A39" s="5" t="s">
        <v>7</v>
      </c>
      <c r="B39" s="6">
        <f>11.38*1.095</f>
        <v>12.4611</v>
      </c>
      <c r="C39" s="6">
        <f>11.81*1.095</f>
        <v>12.931950000000001</v>
      </c>
      <c r="D39" s="7">
        <f>C39/B39</f>
        <v>1.037785588752197</v>
      </c>
      <c r="F39" s="5" t="s">
        <v>7</v>
      </c>
      <c r="G39" s="6">
        <f>8.01*1.095</f>
        <v>8.7709499999999991</v>
      </c>
      <c r="H39" s="6">
        <f>8.22*1.095</f>
        <v>9.0008999999999997</v>
      </c>
      <c r="I39" s="7">
        <f>H39/G39</f>
        <v>1.0262172284644195</v>
      </c>
      <c r="K39" s="5" t="s">
        <v>7</v>
      </c>
      <c r="L39" s="6">
        <f>6.31*1.095</f>
        <v>6.9094499999999996</v>
      </c>
      <c r="M39" s="6">
        <f>6.42*1.095</f>
        <v>7.0298999999999996</v>
      </c>
      <c r="N39" s="7">
        <f>M39/L39</f>
        <v>1.0174326465927099</v>
      </c>
    </row>
    <row r="40" spans="1:14" ht="16.5" thickTop="1" thickBot="1" x14ac:dyDescent="0.3">
      <c r="A40" s="8" t="s">
        <v>22</v>
      </c>
      <c r="B40" s="9">
        <f>8.86*1.095+8.78+3.14</f>
        <v>21.621699999999997</v>
      </c>
      <c r="C40" s="9">
        <f>6.23*1.095+8.78+2.84*1.095</f>
        <v>18.711649999999999</v>
      </c>
      <c r="D40" s="10">
        <f t="shared" ref="D40:D42" si="12">C40/B40</f>
        <v>0.86541067538630179</v>
      </c>
      <c r="F40" s="8" t="s">
        <v>22</v>
      </c>
      <c r="G40" s="9">
        <f>4.43*1.095+4.39+3.14*1.095</f>
        <v>12.679149999999998</v>
      </c>
      <c r="H40" s="9">
        <f>3.11*1.095+4.39+2.84*1.095</f>
        <v>10.905249999999999</v>
      </c>
      <c r="I40" s="10">
        <f t="shared" ref="I40:I42" si="13">H40/G40</f>
        <v>0.86009314504521206</v>
      </c>
      <c r="K40" s="8" t="s">
        <v>22</v>
      </c>
      <c r="L40" s="9">
        <f>2.21*1.095+2.15+3.14*1.095</f>
        <v>8.0082500000000003</v>
      </c>
      <c r="M40" s="9">
        <f>1.55*1.095+2.19+2.84*1.095</f>
        <v>6.9970499999999998</v>
      </c>
      <c r="N40" s="10">
        <f t="shared" ref="N40:N42" si="14">M40/L40</f>
        <v>0.87373021571504383</v>
      </c>
    </row>
    <row r="41" spans="1:14" ht="16.5" thickTop="1" thickBot="1" x14ac:dyDescent="0.3">
      <c r="A41" s="8" t="s">
        <v>10</v>
      </c>
      <c r="B41" s="11">
        <f>14.83*1.095</f>
        <v>16.238849999999999</v>
      </c>
      <c r="C41" s="11">
        <f>15.12*1.095</f>
        <v>16.5564</v>
      </c>
      <c r="D41" s="7">
        <f t="shared" si="12"/>
        <v>1.019554956169926</v>
      </c>
      <c r="F41" s="8" t="s">
        <v>10</v>
      </c>
      <c r="G41" s="11">
        <f>7.41*1.095</f>
        <v>8.1139499999999991</v>
      </c>
      <c r="H41" s="11">
        <f>11.85*1.095</f>
        <v>12.97575</v>
      </c>
      <c r="I41" s="7">
        <f t="shared" si="13"/>
        <v>1.5991902834008098</v>
      </c>
      <c r="K41" s="8" t="s">
        <v>10</v>
      </c>
      <c r="L41" s="11">
        <f>3.71*1.095</f>
        <v>4.0624500000000001</v>
      </c>
      <c r="M41" s="11">
        <f>8.58*1.095</f>
        <v>9.3950999999999993</v>
      </c>
      <c r="N41" s="7">
        <f t="shared" si="14"/>
        <v>2.3126684636118595</v>
      </c>
    </row>
    <row r="42" spans="1:14" ht="16.5" thickTop="1" thickBot="1" x14ac:dyDescent="0.3">
      <c r="A42" s="8" t="s">
        <v>11</v>
      </c>
      <c r="B42" s="9">
        <f>SUM(B39:B41)</f>
        <v>50.321649999999998</v>
      </c>
      <c r="C42" s="9">
        <f>SUM(C39:C41)</f>
        <v>48.2</v>
      </c>
      <c r="D42" s="10">
        <f t="shared" si="12"/>
        <v>0.95783822668771801</v>
      </c>
      <c r="F42" s="8" t="s">
        <v>11</v>
      </c>
      <c r="G42" s="9">
        <f>SUM(G39:G41)</f>
        <v>29.564049999999998</v>
      </c>
      <c r="H42" s="9">
        <f>SUM(H39:H41)</f>
        <v>32.881899999999995</v>
      </c>
      <c r="I42" s="10">
        <f t="shared" si="13"/>
        <v>1.1122258283286626</v>
      </c>
      <c r="K42" s="8" t="s">
        <v>11</v>
      </c>
      <c r="L42" s="9">
        <f>SUM(L39:L41)</f>
        <v>18.980150000000002</v>
      </c>
      <c r="M42" s="9">
        <f>SUM(M39:M41)</f>
        <v>23.422049999999999</v>
      </c>
      <c r="N42" s="10">
        <f t="shared" si="14"/>
        <v>1.2340287089406563</v>
      </c>
    </row>
    <row r="43" spans="1:14" ht="17.25" thickTop="1" thickBot="1" x14ac:dyDescent="0.3">
      <c r="A43" s="8"/>
      <c r="B43" s="16" t="s">
        <v>12</v>
      </c>
      <c r="C43" s="17">
        <f>C42-B42</f>
        <v>-2.1216499999999954</v>
      </c>
      <c r="D43" s="18"/>
      <c r="F43" s="8"/>
      <c r="G43" s="16" t="s">
        <v>12</v>
      </c>
      <c r="H43" s="14">
        <f>H42-G42</f>
        <v>3.3178499999999964</v>
      </c>
      <c r="I43" s="18"/>
      <c r="K43" s="8"/>
      <c r="L43" s="16" t="s">
        <v>12</v>
      </c>
      <c r="M43" s="14">
        <f>M42-L42</f>
        <v>4.4418999999999969</v>
      </c>
      <c r="N43" s="18"/>
    </row>
    <row r="44" spans="1:14" x14ac:dyDescent="0.25">
      <c r="D44" s="1"/>
      <c r="I44" s="1"/>
      <c r="N44" s="1"/>
    </row>
    <row r="45" spans="1:14" ht="15.75" thickBot="1" x14ac:dyDescent="0.3">
      <c r="A45" t="s">
        <v>26</v>
      </c>
      <c r="D45" s="1"/>
      <c r="F45" t="s">
        <v>27</v>
      </c>
      <c r="I45" s="1"/>
      <c r="K45" t="s">
        <v>28</v>
      </c>
      <c r="N45" s="1"/>
    </row>
    <row r="46" spans="1:14" ht="20.25" customHeight="1" thickBot="1" x14ac:dyDescent="0.3">
      <c r="A46" s="2" t="s">
        <v>3</v>
      </c>
      <c r="B46" s="3" t="s">
        <v>4</v>
      </c>
      <c r="C46" s="3" t="s">
        <v>5</v>
      </c>
      <c r="D46" s="4" t="s">
        <v>6</v>
      </c>
      <c r="F46" s="2" t="s">
        <v>3</v>
      </c>
      <c r="G46" s="3" t="s">
        <v>4</v>
      </c>
      <c r="H46" s="3" t="s">
        <v>5</v>
      </c>
      <c r="I46" s="4" t="s">
        <v>6</v>
      </c>
      <c r="K46" s="2" t="s">
        <v>3</v>
      </c>
      <c r="L46" s="3" t="s">
        <v>4</v>
      </c>
      <c r="M46" s="3" t="s">
        <v>5</v>
      </c>
      <c r="N46" s="4" t="s">
        <v>6</v>
      </c>
    </row>
    <row r="47" spans="1:14" ht="16.5" thickTop="1" thickBot="1" x14ac:dyDescent="0.3">
      <c r="A47" s="5" t="s">
        <v>7</v>
      </c>
      <c r="B47" s="6">
        <f>10.46*1.095</f>
        <v>11.453700000000001</v>
      </c>
      <c r="C47" s="6">
        <f>11.81*1.095</f>
        <v>12.931950000000001</v>
      </c>
      <c r="D47" s="7">
        <f>C47/B47</f>
        <v>1.1290630975143403</v>
      </c>
      <c r="F47" s="5" t="s">
        <v>7</v>
      </c>
      <c r="G47" s="6">
        <f>5.87*1.095</f>
        <v>6.4276499999999999</v>
      </c>
      <c r="H47" s="6">
        <f>8.22*1.095</f>
        <v>9.0008999999999997</v>
      </c>
      <c r="I47" s="7">
        <f>H47/G47</f>
        <v>1.4003407155025553</v>
      </c>
      <c r="K47" s="5" t="s">
        <v>7</v>
      </c>
      <c r="L47" s="6">
        <f>6.31*1.095</f>
        <v>6.9094499999999996</v>
      </c>
      <c r="M47" s="6">
        <f>6.42*1.095</f>
        <v>7.0298999999999996</v>
      </c>
      <c r="N47" s="7">
        <f>M47/L47</f>
        <v>1.0174326465927099</v>
      </c>
    </row>
    <row r="48" spans="1:14" ht="16.5" thickTop="1" thickBot="1" x14ac:dyDescent="0.3">
      <c r="A48" s="8" t="s">
        <v>22</v>
      </c>
      <c r="B48" s="9">
        <f>8.86*1.095+8.78+2.52</f>
        <v>21.001699999999996</v>
      </c>
      <c r="C48" s="9">
        <f>6.23*1.095+8.78+2.84*1.095</f>
        <v>18.711649999999999</v>
      </c>
      <c r="D48" s="10">
        <f t="shared" ref="D48:D50" si="15">C48/B48</f>
        <v>0.8909588271425648</v>
      </c>
      <c r="F48" s="8" t="s">
        <v>22</v>
      </c>
      <c r="G48" s="9">
        <f>4.43*1.095+4.39+2.52</f>
        <v>11.760849999999998</v>
      </c>
      <c r="H48" s="9">
        <f>3.12*1.095+4.39+2.84*1.095</f>
        <v>10.9162</v>
      </c>
      <c r="I48" s="10">
        <f t="shared" ref="I48:I50" si="16">H48/G48</f>
        <v>0.92818121139203391</v>
      </c>
      <c r="K48" s="8" t="s">
        <v>22</v>
      </c>
      <c r="L48" s="9">
        <f>2.21*1.095+2.15+3.14*1.095</f>
        <v>8.0082500000000003</v>
      </c>
      <c r="M48" s="9">
        <f>1.55*1.095+2.19+2.84*1.095</f>
        <v>6.9970499999999998</v>
      </c>
      <c r="N48" s="10">
        <f t="shared" ref="N48:N50" si="17">M48/L48</f>
        <v>0.87373021571504383</v>
      </c>
    </row>
    <row r="49" spans="1:14" ht="16.5" thickTop="1" thickBot="1" x14ac:dyDescent="0.3">
      <c r="A49" s="8" t="s">
        <v>10</v>
      </c>
      <c r="B49" s="11">
        <f>14.83*1.095</f>
        <v>16.238849999999999</v>
      </c>
      <c r="C49" s="11">
        <f>11.19*1.095</f>
        <v>12.25305</v>
      </c>
      <c r="D49" s="7">
        <f t="shared" si="15"/>
        <v>0.75455158462575866</v>
      </c>
      <c r="F49" s="8" t="s">
        <v>10</v>
      </c>
      <c r="G49" s="11">
        <f>7.42*1.095</f>
        <v>8.1249000000000002</v>
      </c>
      <c r="H49" s="11">
        <f>5.59*1.095</f>
        <v>6.1210499999999994</v>
      </c>
      <c r="I49" s="7">
        <f t="shared" si="16"/>
        <v>0.75336927223719663</v>
      </c>
      <c r="K49" s="8" t="s">
        <v>10</v>
      </c>
      <c r="L49" s="11">
        <f>3.7*1.095</f>
        <v>4.0514999999999999</v>
      </c>
      <c r="M49" s="11">
        <f>2.79*1.095</f>
        <v>3.05505</v>
      </c>
      <c r="N49" s="7">
        <f t="shared" si="17"/>
        <v>0.75405405405405412</v>
      </c>
    </row>
    <row r="50" spans="1:14" ht="16.5" thickTop="1" thickBot="1" x14ac:dyDescent="0.3">
      <c r="A50" s="8" t="s">
        <v>11</v>
      </c>
      <c r="B50" s="9">
        <f>SUM(B47:B49)</f>
        <v>48.694249999999997</v>
      </c>
      <c r="C50" s="9">
        <f>SUM(C47:C49)</f>
        <v>43.896650000000001</v>
      </c>
      <c r="D50" s="10">
        <f t="shared" si="15"/>
        <v>0.90147502015125003</v>
      </c>
      <c r="F50" s="8" t="s">
        <v>11</v>
      </c>
      <c r="G50" s="9">
        <f>SUM(G47:G49)</f>
        <v>26.313399999999998</v>
      </c>
      <c r="H50" s="9">
        <f>SUM(H47:H49)</f>
        <v>26.038149999999998</v>
      </c>
      <c r="I50" s="10">
        <f t="shared" si="16"/>
        <v>0.98953955019115736</v>
      </c>
      <c r="K50" s="8" t="s">
        <v>11</v>
      </c>
      <c r="L50" s="9">
        <f>SUM(L47:L49)</f>
        <v>18.969200000000001</v>
      </c>
      <c r="M50" s="9">
        <f>SUM(M47:M49)</f>
        <v>17.082000000000001</v>
      </c>
      <c r="N50" s="10">
        <f t="shared" si="17"/>
        <v>0.90051240959028322</v>
      </c>
    </row>
    <row r="51" spans="1:14" ht="17.25" thickTop="1" thickBot="1" x14ac:dyDescent="0.3">
      <c r="A51" s="8"/>
      <c r="B51" s="16" t="s">
        <v>12</v>
      </c>
      <c r="C51" s="17">
        <f>C50-B50</f>
        <v>-4.7975999999999956</v>
      </c>
      <c r="D51" s="18"/>
      <c r="F51" s="8"/>
      <c r="G51" s="16" t="s">
        <v>12</v>
      </c>
      <c r="H51" s="17">
        <f>H50-G50</f>
        <v>-0.27524999999999977</v>
      </c>
      <c r="I51" s="18"/>
      <c r="K51" s="8"/>
      <c r="L51" s="16" t="s">
        <v>12</v>
      </c>
      <c r="M51" s="14">
        <f>M50-L50</f>
        <v>-1.8872</v>
      </c>
      <c r="N51" s="18"/>
    </row>
    <row r="53" spans="1:14" ht="30.75" customHeight="1" x14ac:dyDescent="0.25">
      <c r="F53" s="19"/>
      <c r="G53" s="20" t="s">
        <v>29</v>
      </c>
      <c r="H53" s="20"/>
      <c r="I53" s="21" t="s">
        <v>30</v>
      </c>
      <c r="J53" s="20"/>
      <c r="K53" s="21" t="s">
        <v>31</v>
      </c>
      <c r="L53" s="21" t="s">
        <v>32</v>
      </c>
    </row>
    <row r="54" spans="1:14" ht="15" customHeight="1" x14ac:dyDescent="0.3">
      <c r="F54" s="22" t="s">
        <v>33</v>
      </c>
      <c r="G54" s="23" t="s">
        <v>34</v>
      </c>
      <c r="H54" s="23"/>
      <c r="I54" s="24">
        <v>0.27879999999999999</v>
      </c>
      <c r="J54" s="25"/>
      <c r="K54" s="26">
        <v>99975.59</v>
      </c>
      <c r="L54" s="26">
        <f>K54*1.095</f>
        <v>109473.27105</v>
      </c>
    </row>
    <row r="55" spans="1:14" ht="18.75" x14ac:dyDescent="0.3">
      <c r="F55" s="22"/>
      <c r="G55" s="27" t="s">
        <v>35</v>
      </c>
      <c r="H55" s="27"/>
      <c r="I55" s="28">
        <v>0.1</v>
      </c>
      <c r="J55" s="29"/>
      <c r="K55" s="30">
        <v>103844.12</v>
      </c>
      <c r="L55" s="30">
        <f t="shared" ref="L55:L57" si="18">K55*1.095</f>
        <v>113709.31139999999</v>
      </c>
    </row>
    <row r="56" spans="1:14" ht="18.75" x14ac:dyDescent="0.3">
      <c r="F56" s="22"/>
      <c r="G56" s="23" t="s">
        <v>36</v>
      </c>
      <c r="H56" s="23"/>
      <c r="I56" s="24">
        <v>0.3821</v>
      </c>
      <c r="J56" s="25"/>
      <c r="K56" s="26">
        <v>26160</v>
      </c>
      <c r="L56" s="26">
        <f t="shared" si="18"/>
        <v>28645.200000000001</v>
      </c>
    </row>
    <row r="57" spans="1:14" ht="18.75" x14ac:dyDescent="0.3">
      <c r="F57" s="22"/>
      <c r="G57" s="27" t="s">
        <v>37</v>
      </c>
      <c r="H57" s="27"/>
      <c r="I57" s="28">
        <v>0.2</v>
      </c>
      <c r="J57" s="29"/>
      <c r="K57" s="30">
        <v>21210</v>
      </c>
      <c r="L57" s="30">
        <f t="shared" si="18"/>
        <v>23224.95</v>
      </c>
    </row>
    <row r="58" spans="1:14" ht="18.75" x14ac:dyDescent="0.3">
      <c r="F58" s="31"/>
      <c r="G58" s="31"/>
      <c r="H58" s="31"/>
      <c r="I58" s="31"/>
      <c r="J58" s="31"/>
      <c r="K58" s="32">
        <f ca="1">SUM(K54:K58)</f>
        <v>251189.71</v>
      </c>
      <c r="L58" s="32">
        <f ca="1">K58*1.095</f>
        <v>275052.73245000001</v>
      </c>
    </row>
  </sheetData>
  <mergeCells count="5">
    <mergeCell ref="F54:F57"/>
    <mergeCell ref="G54:H54"/>
    <mergeCell ref="G55:H55"/>
    <mergeCell ref="G56:H56"/>
    <mergeCell ref="G57:H5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Aljančič</dc:creator>
  <cp:lastModifiedBy>Mojca Aljančič</cp:lastModifiedBy>
  <dcterms:created xsi:type="dcterms:W3CDTF">2015-12-10T07:02:53Z</dcterms:created>
  <dcterms:modified xsi:type="dcterms:W3CDTF">2015-12-10T07:03:53Z</dcterms:modified>
</cp:coreProperties>
</file>