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01 AKTI - V IZDELAVI\O D L O K o nadomestilu za uporabo stavbnega zemljišča v Občini Ravne na Koroškem\"/>
    </mc:Choice>
  </mc:AlternateContent>
  <xr:revisionPtr revIDLastSave="0" documentId="13_ncr:1_{D7B220F1-9877-4335-BC4D-449E079479EC}" xr6:coauthVersionLast="47" xr6:coauthVersionMax="47" xr10:uidLastSave="{00000000-0000-0000-0000-000000000000}"/>
  <bookViews>
    <workbookView xWindow="-120" yWindow="-120" windowWidth="29040" windowHeight="17520" xr2:uid="{C55CCC5E-A15D-4020-BD8F-EDAB6467BC52}"/>
  </bookViews>
  <sheets>
    <sheet name="Primerjalni izračun" sheetId="1" r:id="rId1"/>
    <sheet name="Primerjava odlokov 2017 - 2023" sheetId="2" r:id="rId2"/>
  </sheets>
  <definedNames>
    <definedName name="_xlnm._FilterDatabase" localSheetId="0" hidden="1">'Primerjalni izračun'!$A$1:$I$1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I7" i="2"/>
  <c r="H7" i="2"/>
  <c r="F36" i="2"/>
  <c r="F37" i="2" s="1"/>
  <c r="D36" i="2"/>
  <c r="D37" i="2" s="1"/>
  <c r="C36" i="2"/>
  <c r="C37" i="2" s="1"/>
  <c r="B36" i="2"/>
  <c r="B37" i="2" s="1"/>
  <c r="G33" i="2"/>
  <c r="F33" i="2"/>
  <c r="E33" i="2"/>
  <c r="D33" i="2"/>
  <c r="C33" i="2"/>
  <c r="B33" i="2"/>
  <c r="G24" i="2"/>
  <c r="F24" i="2"/>
  <c r="E24" i="2"/>
  <c r="D24" i="2"/>
  <c r="C24" i="2"/>
  <c r="B24" i="2"/>
  <c r="K15" i="2"/>
  <c r="J15" i="2"/>
  <c r="I15" i="2"/>
  <c r="H15" i="2"/>
  <c r="G15" i="2"/>
  <c r="F15" i="2"/>
  <c r="E15" i="2"/>
  <c r="D15" i="2"/>
  <c r="C15" i="2"/>
  <c r="B15" i="2"/>
  <c r="K6" i="2"/>
  <c r="J6" i="2"/>
  <c r="I6" i="2"/>
  <c r="H6" i="2"/>
  <c r="G6" i="2"/>
  <c r="F6" i="2"/>
  <c r="E6" i="2"/>
  <c r="D6" i="2"/>
  <c r="C6" i="2"/>
  <c r="B6" i="2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9" i="1"/>
  <c r="H8" i="1"/>
  <c r="H7" i="1"/>
  <c r="H5" i="1"/>
  <c r="H4" i="1"/>
  <c r="G24" i="1"/>
  <c r="G21" i="1"/>
  <c r="G18" i="1"/>
  <c r="G17" i="1"/>
  <c r="G16" i="1"/>
  <c r="G15" i="1"/>
  <c r="G14" i="1"/>
  <c r="G9" i="1"/>
  <c r="G7" i="1"/>
  <c r="G6" i="1"/>
  <c r="G5" i="1"/>
  <c r="E36" i="2"/>
  <c r="E37" i="2" s="1"/>
  <c r="G36" i="2" l="1"/>
  <c r="G37" i="2" s="1"/>
  <c r="G27" i="2"/>
  <c r="G28" i="2" s="1"/>
  <c r="F27" i="2"/>
  <c r="F28" i="2" s="1"/>
  <c r="E27" i="2"/>
  <c r="E28" i="2" s="1"/>
  <c r="D27" i="2"/>
  <c r="D28" i="2" s="1"/>
  <c r="C27" i="2"/>
  <c r="C28" i="2" s="1"/>
  <c r="B27" i="2"/>
  <c r="B28" i="2" s="1"/>
  <c r="K18" i="2" l="1"/>
  <c r="K19" i="2" s="1"/>
  <c r="J18" i="2"/>
  <c r="J19" i="2" s="1"/>
  <c r="G18" i="2"/>
  <c r="G19" i="2" s="1"/>
  <c r="F18" i="2"/>
  <c r="F19" i="2" s="1"/>
  <c r="C18" i="2"/>
  <c r="C19" i="2" s="1"/>
  <c r="I18" i="2"/>
  <c r="I19" i="2" s="1"/>
  <c r="H18" i="2"/>
  <c r="H19" i="2" s="1"/>
  <c r="E18" i="2"/>
  <c r="E19" i="2" s="1"/>
  <c r="D18" i="2"/>
  <c r="D19" i="2" s="1"/>
  <c r="B18" i="2"/>
  <c r="B19" i="2" s="1"/>
  <c r="K9" i="2"/>
  <c r="K10" i="2" s="1"/>
  <c r="J9" i="2"/>
  <c r="J10" i="2" s="1"/>
  <c r="I9" i="2" l="1"/>
  <c r="I10" i="2" s="1"/>
  <c r="G9" i="2"/>
  <c r="G10" i="2" s="1"/>
  <c r="H9" i="2"/>
  <c r="H10" i="2" s="1"/>
  <c r="F9" i="2"/>
  <c r="F10" i="2" s="1"/>
  <c r="D9" i="2"/>
  <c r="D10" i="2" s="1"/>
  <c r="E9" i="2"/>
  <c r="E10" i="2" s="1"/>
  <c r="C9" i="2"/>
  <c r="C10" i="2" s="1"/>
  <c r="B9" i="2"/>
  <c r="B10" i="2" s="1"/>
</calcChain>
</file>

<file path=xl/sharedStrings.xml><?xml version="1.0" encoding="utf-8"?>
<sst xmlns="http://schemas.openxmlformats.org/spreadsheetml/2006/main" count="148" uniqueCount="56">
  <si>
    <t>št.</t>
  </si>
  <si>
    <t>Občina</t>
  </si>
  <si>
    <r>
      <rPr>
        <b/>
        <sz val="11"/>
        <color theme="1"/>
        <rFont val="Calibri"/>
        <family val="2"/>
        <charset val="238"/>
        <scheme val="minor"/>
      </rPr>
      <t>1. Stanovanje</t>
    </r>
    <r>
      <rPr>
        <sz val="11"/>
        <color theme="1"/>
        <rFont val="Calibri"/>
        <family val="2"/>
        <charset val="238"/>
        <scheme val="minor"/>
      </rPr>
      <t xml:space="preserve"> 50 m²                     I. območje komunalno opremljeno</t>
    </r>
  </si>
  <si>
    <r>
      <rPr>
        <b/>
        <sz val="11"/>
        <color theme="1"/>
        <rFont val="Calibri"/>
        <family val="2"/>
        <charset val="238"/>
        <scheme val="minor"/>
      </rPr>
      <t>2. Poslovni prostor</t>
    </r>
    <r>
      <rPr>
        <sz val="11"/>
        <color theme="1"/>
        <rFont val="Calibri"/>
        <family val="2"/>
        <charset val="238"/>
        <scheme val="minor"/>
      </rPr>
      <t xml:space="preserve"> 100 m²                      I. območje komunalno opremljeno</t>
    </r>
  </si>
  <si>
    <t>Ravne na Koroškem</t>
  </si>
  <si>
    <r>
      <t>3. Izjemno ugodna lokacija (poslovna dejavnost)</t>
    </r>
    <r>
      <rPr>
        <sz val="11"/>
        <color theme="1"/>
        <rFont val="Calibri"/>
        <family val="2"/>
        <charset val="238"/>
        <scheme val="minor"/>
      </rPr>
      <t xml:space="preserve">                    100 m², I. območje</t>
    </r>
  </si>
  <si>
    <t>Radlje ob Dravi</t>
  </si>
  <si>
    <t>/</t>
  </si>
  <si>
    <t>Slovenj Gradec</t>
  </si>
  <si>
    <t>Prevalje</t>
  </si>
  <si>
    <t>Dravograd</t>
  </si>
  <si>
    <t>Vrednosti po novem predlogu</t>
  </si>
  <si>
    <t>Vuzenica</t>
  </si>
  <si>
    <t>več variant</t>
  </si>
  <si>
    <t>Muta</t>
  </si>
  <si>
    <t>Mežica</t>
  </si>
  <si>
    <t>Mislinja</t>
  </si>
  <si>
    <t>Selnica ob Dravi</t>
  </si>
  <si>
    <t>Žalec</t>
  </si>
  <si>
    <t>Braslovče</t>
  </si>
  <si>
    <t>Šentjur</t>
  </si>
  <si>
    <t>Lukovica</t>
  </si>
  <si>
    <t>Ajdovščina</t>
  </si>
  <si>
    <t>Škofja Loka</t>
  </si>
  <si>
    <t>Tržič</t>
  </si>
  <si>
    <t>Bled</t>
  </si>
  <si>
    <t>Vrhnika</t>
  </si>
  <si>
    <t>Piran</t>
  </si>
  <si>
    <t>Naklo</t>
  </si>
  <si>
    <t>Kanal ob Soči</t>
  </si>
  <si>
    <r>
      <t xml:space="preserve">Št. prebivalcev </t>
    </r>
    <r>
      <rPr>
        <i/>
        <sz val="11"/>
        <color theme="1"/>
        <rFont val="Calibri"/>
        <family val="2"/>
        <charset val="238"/>
        <scheme val="minor"/>
      </rPr>
      <t>(vir: SURS, 2022)</t>
    </r>
  </si>
  <si>
    <t>Obstoječi odlok</t>
  </si>
  <si>
    <t>Nov odlok</t>
  </si>
  <si>
    <t>I. OBMOČJE</t>
  </si>
  <si>
    <t>Stanovanjski obj. 50 m²</t>
  </si>
  <si>
    <t>Stanovanjski obj. 100 m²</t>
  </si>
  <si>
    <t>Družbene dej. 100 m²</t>
  </si>
  <si>
    <t>Poslovne dej. 100 m²</t>
  </si>
  <si>
    <t>Družbene dej. 500 m²</t>
  </si>
  <si>
    <t>Poslovne dej. 500 m²</t>
  </si>
  <si>
    <t>Ugodna lokacija 100 m²</t>
  </si>
  <si>
    <t>Ugodna lokacija 500 m²</t>
  </si>
  <si>
    <t>Razlika (v EUR)</t>
  </si>
  <si>
    <t>Razlika (%)</t>
  </si>
  <si>
    <t>II. OBMOČJE</t>
  </si>
  <si>
    <t>Nezazidano stanov. 500 m²</t>
  </si>
  <si>
    <t>Nezazidano poslov. 500 m²</t>
  </si>
  <si>
    <t>III. OBMOČJE</t>
  </si>
  <si>
    <t>IV. OBMOČJE</t>
  </si>
  <si>
    <r>
      <rPr>
        <b/>
        <sz val="16"/>
        <color theme="2" tint="-0.749992370372631"/>
        <rFont val="Calibri"/>
        <family val="2"/>
        <charset val="238"/>
        <scheme val="minor"/>
      </rPr>
      <t>Primerjalni izračun NUSZ glede na območja</t>
    </r>
    <r>
      <rPr>
        <b/>
        <sz val="11"/>
        <color theme="2" tint="-0.74999237037263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(ob predpostavki popolne komunalne opremljenosti)</t>
    </r>
  </si>
  <si>
    <t>* Nižji znesek je po trenutno veljavnem odloku o NUSZ predviden za nezazidana stavbna zemljišča na območju Poslovne cone Ravne - III. Faza (četrti odstavek 19. člena odloka)</t>
  </si>
  <si>
    <r>
      <rPr>
        <b/>
        <sz val="11"/>
        <color theme="1"/>
        <rFont val="Calibri"/>
        <family val="2"/>
        <charset val="238"/>
        <scheme val="minor"/>
      </rPr>
      <t xml:space="preserve">4. Nepridobitna dejavnost                 </t>
    </r>
    <r>
      <rPr>
        <sz val="11"/>
        <color theme="1"/>
        <rFont val="Calibri"/>
        <family val="2"/>
        <charset val="238"/>
        <scheme val="minor"/>
      </rPr>
      <t>100 m²                           I. območje, komualno opremljeno</t>
    </r>
  </si>
  <si>
    <r>
      <t xml:space="preserve">5. Nezazidano st. zem.         </t>
    </r>
    <r>
      <rPr>
        <sz val="11"/>
        <color theme="1"/>
        <rFont val="Calibri"/>
        <family val="2"/>
        <charset val="238"/>
        <scheme val="minor"/>
      </rPr>
      <t>100 m², stan. namen</t>
    </r>
  </si>
  <si>
    <r>
      <t xml:space="preserve">6. Nezazidano st. zem. </t>
    </r>
    <r>
      <rPr>
        <sz val="11"/>
        <color theme="1"/>
        <rFont val="Calibri"/>
        <family val="2"/>
        <charset val="238"/>
        <scheme val="minor"/>
      </rPr>
      <t>100 m², posl. namen</t>
    </r>
  </si>
  <si>
    <t>Trenutno veljaven odlok o NUSZ (2023)</t>
  </si>
  <si>
    <t>158,99 / 39,75 €*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</si>
</sst>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b/>
      <sz val="16"/>
      <color theme="2" tint="-0.74999237037263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F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3" borderId="1" xfId="0" applyFill="1" applyBorder="1"/>
    <xf numFmtId="3" fontId="0" fillId="3" borderId="1" xfId="0" applyNumberFormat="1" applyFill="1" applyBorder="1"/>
    <xf numFmtId="164" fontId="0" fillId="3" borderId="1" xfId="0" applyNumberFormat="1" applyFill="1" applyBorder="1" applyAlignment="1">
      <alignment horizontal="right"/>
    </xf>
    <xf numFmtId="164" fontId="0" fillId="3" borderId="1" xfId="0" quotePrefix="1" applyNumberFormat="1" applyFill="1" applyBorder="1" applyAlignment="1">
      <alignment horizontal="right"/>
    </xf>
    <xf numFmtId="164" fontId="0" fillId="3" borderId="1" xfId="0" applyNumberFormat="1" applyFill="1" applyBorder="1"/>
    <xf numFmtId="0" fontId="0" fillId="4" borderId="1" xfId="0" applyFill="1" applyBorder="1" applyAlignment="1">
      <alignment vertical="top"/>
    </xf>
    <xf numFmtId="3" fontId="0" fillId="4" borderId="1" xfId="0" applyNumberFormat="1" applyFill="1" applyBorder="1" applyAlignment="1">
      <alignment vertical="top"/>
    </xf>
    <xf numFmtId="164" fontId="0" fillId="4" borderId="1" xfId="0" applyNumberFormat="1" applyFill="1" applyBorder="1" applyAlignment="1">
      <alignment horizontal="right" vertical="top" wrapText="1"/>
    </xf>
    <xf numFmtId="0" fontId="0" fillId="5" borderId="1" xfId="0" applyFill="1" applyBorder="1"/>
    <xf numFmtId="3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7" borderId="0" xfId="0" applyFill="1"/>
    <xf numFmtId="10" fontId="0" fillId="3" borderId="0" xfId="0" applyNumberFormat="1" applyFill="1"/>
    <xf numFmtId="0" fontId="0" fillId="9" borderId="0" xfId="0" applyFill="1"/>
    <xf numFmtId="0" fontId="0" fillId="6" borderId="0" xfId="0" applyFill="1" applyAlignment="1">
      <alignment wrapText="1"/>
    </xf>
    <xf numFmtId="0" fontId="0" fillId="3" borderId="0" xfId="0" applyFill="1"/>
    <xf numFmtId="0" fontId="0" fillId="9" borderId="0" xfId="0" quotePrefix="1" applyFill="1" applyAlignment="1">
      <alignment horizontal="center" vertical="top"/>
    </xf>
    <xf numFmtId="10" fontId="0" fillId="3" borderId="0" xfId="0" quotePrefix="1" applyNumberFormat="1" applyFill="1" applyAlignment="1">
      <alignment horizontal="center" vertical="top"/>
    </xf>
    <xf numFmtId="0" fontId="0" fillId="9" borderId="0" xfId="0" quotePrefix="1" applyFill="1" applyAlignment="1">
      <alignment horizontal="center"/>
    </xf>
    <xf numFmtId="10" fontId="0" fillId="3" borderId="0" xfId="0" quotePrefix="1" applyNumberFormat="1" applyFill="1" applyAlignment="1">
      <alignment horizontal="center"/>
    </xf>
    <xf numFmtId="0" fontId="0" fillId="6" borderId="0" xfId="0" applyFill="1" applyAlignment="1">
      <alignment horizontal="left" wrapText="1"/>
    </xf>
    <xf numFmtId="0" fontId="0" fillId="0" borderId="0" xfId="0" applyAlignment="1">
      <alignment vertical="top" wrapText="1"/>
    </xf>
    <xf numFmtId="0" fontId="0" fillId="7" borderId="0" xfId="0" applyFill="1" applyAlignment="1">
      <alignment wrapText="1"/>
    </xf>
    <xf numFmtId="2" fontId="0" fillId="7" borderId="0" xfId="0" applyNumberFormat="1" applyFill="1"/>
    <xf numFmtId="2" fontId="0" fillId="8" borderId="0" xfId="0" applyNumberFormat="1" applyFill="1"/>
    <xf numFmtId="2" fontId="0" fillId="7" borderId="0" xfId="0" quotePrefix="1" applyNumberFormat="1" applyFill="1" applyAlignment="1">
      <alignment horizontal="center"/>
    </xf>
    <xf numFmtId="2" fontId="0" fillId="8" borderId="0" xfId="0" quotePrefix="1" applyNumberFormat="1" applyFill="1" applyAlignment="1">
      <alignment horizontal="center"/>
    </xf>
    <xf numFmtId="2" fontId="0" fillId="9" borderId="0" xfId="0" applyNumberFormat="1" applyFill="1"/>
    <xf numFmtId="0" fontId="1" fillId="8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4" fillId="11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5FFEF"/>
      <color rgb="FFF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205F-5263-40EB-878C-B47753A946D6}">
  <sheetPr>
    <pageSetUpPr fitToPage="1"/>
  </sheetPr>
  <dimension ref="A1:V52"/>
  <sheetViews>
    <sheetView tabSelected="1" zoomScale="115" zoomScaleNormal="115" workbookViewId="0">
      <selection activeCell="L21" sqref="L21:L22"/>
    </sheetView>
  </sheetViews>
  <sheetFormatPr defaultRowHeight="15" x14ac:dyDescent="0.25"/>
  <cols>
    <col min="1" max="1" width="4.42578125" customWidth="1"/>
    <col min="2" max="2" width="17.28515625" bestFit="1" customWidth="1"/>
    <col min="3" max="3" width="15" customWidth="1"/>
    <col min="4" max="4" width="12.5703125" customWidth="1"/>
    <col min="5" max="5" width="16.7109375" customWidth="1"/>
    <col min="6" max="6" width="18.28515625" customWidth="1"/>
    <col min="7" max="7" width="18.7109375" customWidth="1"/>
    <col min="8" max="8" width="13.28515625" customWidth="1"/>
    <col min="9" max="9" width="17.5703125" customWidth="1"/>
    <col min="10" max="10" width="35.7109375" customWidth="1"/>
    <col min="12" max="12" width="46.140625" customWidth="1"/>
  </cols>
  <sheetData>
    <row r="1" spans="1:22" ht="101.25" customHeight="1" x14ac:dyDescent="0.25">
      <c r="A1" s="3" t="s">
        <v>0</v>
      </c>
      <c r="B1" s="3" t="s">
        <v>1</v>
      </c>
      <c r="C1" s="19" t="s">
        <v>30</v>
      </c>
      <c r="D1" s="4" t="s">
        <v>2</v>
      </c>
      <c r="E1" s="4" t="s">
        <v>3</v>
      </c>
      <c r="F1" s="5" t="s">
        <v>5</v>
      </c>
      <c r="G1" s="4" t="s">
        <v>51</v>
      </c>
      <c r="H1" s="5" t="s">
        <v>52</v>
      </c>
      <c r="I1" s="5" t="s">
        <v>53</v>
      </c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2">
        <v>0</v>
      </c>
      <c r="B2" s="12" t="s">
        <v>4</v>
      </c>
      <c r="C2" s="13">
        <v>11228</v>
      </c>
      <c r="D2" s="14">
        <v>25.29</v>
      </c>
      <c r="E2" s="14">
        <v>256.52</v>
      </c>
      <c r="F2" s="14">
        <v>384.78</v>
      </c>
      <c r="G2" s="14">
        <v>178.28</v>
      </c>
      <c r="H2" s="14">
        <v>38.549999999999997</v>
      </c>
      <c r="I2" s="14" t="s">
        <v>55</v>
      </c>
      <c r="J2" s="12" t="s">
        <v>54</v>
      </c>
      <c r="K2" s="1"/>
      <c r="L2" s="3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5">
        <v>1</v>
      </c>
      <c r="B3" s="15" t="s">
        <v>4</v>
      </c>
      <c r="C3" s="16">
        <v>11228</v>
      </c>
      <c r="D3" s="17">
        <v>26.25</v>
      </c>
      <c r="E3" s="17">
        <v>256.69</v>
      </c>
      <c r="F3" s="17">
        <v>385.04</v>
      </c>
      <c r="G3" s="17">
        <v>177.56</v>
      </c>
      <c r="H3" s="17">
        <v>38.6</v>
      </c>
      <c r="I3" s="17">
        <v>154.4</v>
      </c>
      <c r="J3" s="18" t="s">
        <v>11</v>
      </c>
    </row>
    <row r="4" spans="1:22" x14ac:dyDescent="0.25">
      <c r="A4" s="7">
        <v>2</v>
      </c>
      <c r="B4" s="7" t="s">
        <v>6</v>
      </c>
      <c r="C4" s="8">
        <v>6181</v>
      </c>
      <c r="D4" s="9">
        <v>33.369999999999997</v>
      </c>
      <c r="E4" s="9">
        <v>86.88</v>
      </c>
      <c r="F4" s="9">
        <v>199.38</v>
      </c>
      <c r="G4" s="10" t="s">
        <v>7</v>
      </c>
      <c r="H4" s="9">
        <f>37.5/5</f>
        <v>7.5</v>
      </c>
      <c r="I4" s="9">
        <f>125/5</f>
        <v>25</v>
      </c>
      <c r="J4" s="7"/>
    </row>
    <row r="5" spans="1:22" x14ac:dyDescent="0.25">
      <c r="A5" s="7">
        <v>3</v>
      </c>
      <c r="B5" s="7" t="s">
        <v>8</v>
      </c>
      <c r="C5" s="8">
        <v>16716</v>
      </c>
      <c r="D5" s="9">
        <v>33.200000000000003</v>
      </c>
      <c r="E5" s="9">
        <v>201.4</v>
      </c>
      <c r="F5" s="9">
        <v>323.3</v>
      </c>
      <c r="G5" s="9">
        <f>742/5</f>
        <v>148.4</v>
      </c>
      <c r="H5" s="9">
        <f>74.2/5</f>
        <v>14.84</v>
      </c>
      <c r="I5" s="9">
        <f>482.3/5</f>
        <v>96.460000000000008</v>
      </c>
      <c r="J5" s="7"/>
    </row>
    <row r="6" spans="1:22" x14ac:dyDescent="0.25">
      <c r="A6" s="7">
        <v>4</v>
      </c>
      <c r="B6" s="7" t="s">
        <v>9</v>
      </c>
      <c r="C6" s="8">
        <v>6732</v>
      </c>
      <c r="D6" s="9">
        <v>21.49</v>
      </c>
      <c r="E6" s="9">
        <v>176.71</v>
      </c>
      <c r="F6" s="9">
        <v>272.23</v>
      </c>
      <c r="G6" s="9">
        <f>644.76/5</f>
        <v>128.952</v>
      </c>
      <c r="H6" s="10" t="s">
        <v>7</v>
      </c>
      <c r="I6" s="9">
        <f>83.58/5</f>
        <v>16.716000000000001</v>
      </c>
      <c r="J6" s="7"/>
    </row>
    <row r="7" spans="1:22" x14ac:dyDescent="0.25">
      <c r="A7" s="7">
        <v>5</v>
      </c>
      <c r="B7" s="7" t="s">
        <v>10</v>
      </c>
      <c r="C7" s="8">
        <v>8882</v>
      </c>
      <c r="D7" s="9">
        <v>34.85</v>
      </c>
      <c r="E7" s="9">
        <v>369</v>
      </c>
      <c r="F7" s="9">
        <v>574</v>
      </c>
      <c r="G7" s="9">
        <f>1845/5</f>
        <v>369</v>
      </c>
      <c r="H7" s="9">
        <f>143.5/5</f>
        <v>28.7</v>
      </c>
      <c r="I7" s="9">
        <f>451/5</f>
        <v>90.2</v>
      </c>
      <c r="J7" s="7"/>
    </row>
    <row r="8" spans="1:22" x14ac:dyDescent="0.25">
      <c r="A8" s="7">
        <v>6</v>
      </c>
      <c r="B8" s="7" t="s">
        <v>12</v>
      </c>
      <c r="C8" s="8">
        <v>2652</v>
      </c>
      <c r="D8" s="9">
        <v>19.260000000000002</v>
      </c>
      <c r="E8" s="9">
        <v>66.7</v>
      </c>
      <c r="F8" s="9" t="s">
        <v>13</v>
      </c>
      <c r="G8" s="10" t="s">
        <v>7</v>
      </c>
      <c r="H8" s="9">
        <f>59.25/5</f>
        <v>11.85</v>
      </c>
      <c r="I8" s="9">
        <f>112.1/5</f>
        <v>22.419999999999998</v>
      </c>
      <c r="J8" s="7"/>
    </row>
    <row r="9" spans="1:22" x14ac:dyDescent="0.25">
      <c r="A9" s="7">
        <v>7</v>
      </c>
      <c r="B9" s="7" t="s">
        <v>14</v>
      </c>
      <c r="C9" s="8">
        <v>3402</v>
      </c>
      <c r="D9" s="9">
        <v>14.54</v>
      </c>
      <c r="E9" s="9">
        <v>62.09</v>
      </c>
      <c r="F9" s="9">
        <v>56.45</v>
      </c>
      <c r="G9" s="9">
        <f>310.48/5</f>
        <v>62.096000000000004</v>
      </c>
      <c r="H9" s="9">
        <f>99.27/5</f>
        <v>19.853999999999999</v>
      </c>
      <c r="I9" s="9">
        <f>330.9/5</f>
        <v>66.179999999999993</v>
      </c>
      <c r="J9" s="7"/>
    </row>
    <row r="10" spans="1:22" x14ac:dyDescent="0.25">
      <c r="A10" s="7">
        <v>8</v>
      </c>
      <c r="B10" s="7" t="s">
        <v>15</v>
      </c>
      <c r="C10" s="8">
        <v>3567</v>
      </c>
      <c r="D10" s="9">
        <v>25.81</v>
      </c>
      <c r="E10" s="9">
        <v>145.5</v>
      </c>
      <c r="F10" s="9">
        <v>145.5</v>
      </c>
      <c r="G10" s="10" t="s">
        <v>7</v>
      </c>
      <c r="H10" s="9">
        <f>59.56/5</f>
        <v>11.912000000000001</v>
      </c>
      <c r="I10" s="9">
        <f>59.56/5</f>
        <v>11.912000000000001</v>
      </c>
      <c r="J10" s="7"/>
    </row>
    <row r="11" spans="1:22" x14ac:dyDescent="0.25">
      <c r="A11" s="7">
        <v>9</v>
      </c>
      <c r="B11" s="7" t="s">
        <v>16</v>
      </c>
      <c r="C11" s="8">
        <v>4532</v>
      </c>
      <c r="D11" s="9">
        <v>36</v>
      </c>
      <c r="E11" s="9">
        <v>150</v>
      </c>
      <c r="F11" s="10" t="s">
        <v>7</v>
      </c>
      <c r="G11" s="10" t="s">
        <v>7</v>
      </c>
      <c r="H11" s="9">
        <f>89/5</f>
        <v>17.8</v>
      </c>
      <c r="I11" s="9">
        <f>177/5</f>
        <v>35.4</v>
      </c>
      <c r="J11" s="7"/>
    </row>
    <row r="12" spans="1:22" x14ac:dyDescent="0.25">
      <c r="A12" s="7">
        <v>10</v>
      </c>
      <c r="B12" s="7" t="s">
        <v>17</v>
      </c>
      <c r="C12" s="8">
        <v>4513</v>
      </c>
      <c r="D12" s="9">
        <v>29.5</v>
      </c>
      <c r="E12" s="9">
        <v>166</v>
      </c>
      <c r="F12" s="9">
        <v>202</v>
      </c>
      <c r="G12" s="10" t="s">
        <v>7</v>
      </c>
      <c r="H12" s="10" t="s">
        <v>7</v>
      </c>
      <c r="I12" s="9">
        <f>45.4/5</f>
        <v>9.08</v>
      </c>
      <c r="J12" s="7"/>
    </row>
    <row r="13" spans="1:22" x14ac:dyDescent="0.25">
      <c r="A13" s="7">
        <v>11</v>
      </c>
      <c r="B13" s="7" t="s">
        <v>18</v>
      </c>
      <c r="C13" s="8">
        <v>21477</v>
      </c>
      <c r="D13" s="9">
        <v>28.27</v>
      </c>
      <c r="E13" s="9">
        <v>111.1</v>
      </c>
      <c r="F13" s="10" t="s">
        <v>7</v>
      </c>
      <c r="G13" s="10" t="s">
        <v>7</v>
      </c>
      <c r="H13" s="11">
        <f>141.36/5</f>
        <v>28.272000000000002</v>
      </c>
      <c r="I13" s="11">
        <f>277.76/5</f>
        <v>55.552</v>
      </c>
      <c r="J13" s="7"/>
    </row>
    <row r="14" spans="1:22" x14ac:dyDescent="0.25">
      <c r="A14" s="7">
        <v>12</v>
      </c>
      <c r="B14" s="7" t="s">
        <v>19</v>
      </c>
      <c r="C14" s="8">
        <v>5681</v>
      </c>
      <c r="D14" s="9">
        <v>22.7</v>
      </c>
      <c r="E14" s="9">
        <v>95.07</v>
      </c>
      <c r="F14" s="10" t="s">
        <v>7</v>
      </c>
      <c r="G14" s="9">
        <f>297.99/5</f>
        <v>59.597999999999999</v>
      </c>
      <c r="H14" s="9">
        <f>22.7/5</f>
        <v>4.54</v>
      </c>
      <c r="I14" s="10" t="s">
        <v>7</v>
      </c>
      <c r="J14" s="7"/>
    </row>
    <row r="15" spans="1:22" x14ac:dyDescent="0.25">
      <c r="A15" s="7">
        <v>13</v>
      </c>
      <c r="B15" s="7" t="s">
        <v>20</v>
      </c>
      <c r="C15" s="8">
        <v>19378</v>
      </c>
      <c r="D15" s="9">
        <v>31.82</v>
      </c>
      <c r="E15" s="9">
        <v>178.7</v>
      </c>
      <c r="F15" s="9">
        <v>178.7</v>
      </c>
      <c r="G15" s="9">
        <f>342.82/5</f>
        <v>68.563999999999993</v>
      </c>
      <c r="H15" s="9">
        <f>127.3/5</f>
        <v>25.46</v>
      </c>
      <c r="I15" s="9">
        <f>225.8/5</f>
        <v>45.160000000000004</v>
      </c>
      <c r="J15" s="7"/>
    </row>
    <row r="16" spans="1:22" x14ac:dyDescent="0.25">
      <c r="A16" s="7">
        <v>14</v>
      </c>
      <c r="B16" s="7" t="s">
        <v>21</v>
      </c>
      <c r="C16" s="8">
        <v>5978</v>
      </c>
      <c r="D16" s="9">
        <v>30.95</v>
      </c>
      <c r="E16" s="9">
        <v>190.26</v>
      </c>
      <c r="F16" s="10" t="s">
        <v>7</v>
      </c>
      <c r="G16" s="9">
        <f>309.55/5</f>
        <v>61.910000000000004</v>
      </c>
      <c r="H16" s="9">
        <f>112.5/5</f>
        <v>22.5</v>
      </c>
      <c r="I16" s="9">
        <f>112.5/5</f>
        <v>22.5</v>
      </c>
      <c r="J16" s="7"/>
    </row>
    <row r="17" spans="1:10" x14ac:dyDescent="0.25">
      <c r="A17" s="7">
        <v>15</v>
      </c>
      <c r="B17" s="7" t="s">
        <v>22</v>
      </c>
      <c r="C17" s="8">
        <v>19727</v>
      </c>
      <c r="D17" s="9">
        <v>71.92</v>
      </c>
      <c r="E17" s="9">
        <v>176.73</v>
      </c>
      <c r="F17" s="9">
        <v>250.55</v>
      </c>
      <c r="G17" s="9">
        <f>543.8/5</f>
        <v>108.75999999999999</v>
      </c>
      <c r="H17" s="9">
        <f>75.39/5</f>
        <v>15.077999999999999</v>
      </c>
      <c r="I17" s="9">
        <f>336.52/5</f>
        <v>67.304000000000002</v>
      </c>
      <c r="J17" s="7"/>
    </row>
    <row r="18" spans="1:10" x14ac:dyDescent="0.25">
      <c r="A18" s="7">
        <v>16</v>
      </c>
      <c r="B18" s="7" t="s">
        <v>23</v>
      </c>
      <c r="C18" s="8">
        <v>23622</v>
      </c>
      <c r="D18" s="9">
        <v>40.700000000000003</v>
      </c>
      <c r="E18" s="9">
        <v>205.12</v>
      </c>
      <c r="F18" s="9">
        <v>205.12</v>
      </c>
      <c r="G18" s="9">
        <f>813.96/5</f>
        <v>162.792</v>
      </c>
      <c r="H18" s="9">
        <f>279.21/5</f>
        <v>55.841999999999999</v>
      </c>
      <c r="I18" s="9">
        <f>744.57/5</f>
        <v>148.91400000000002</v>
      </c>
      <c r="J18" s="7"/>
    </row>
    <row r="19" spans="1:10" x14ac:dyDescent="0.25">
      <c r="A19" s="7">
        <v>17</v>
      </c>
      <c r="B19" s="7" t="s">
        <v>24</v>
      </c>
      <c r="C19" s="8">
        <v>15011</v>
      </c>
      <c r="D19" s="9">
        <v>39.6</v>
      </c>
      <c r="E19" s="9">
        <v>320.64999999999998</v>
      </c>
      <c r="F19" s="9">
        <v>467.46</v>
      </c>
      <c r="G19" s="10" t="s">
        <v>7</v>
      </c>
      <c r="H19" s="9">
        <f>154.53/5</f>
        <v>30.905999999999999</v>
      </c>
      <c r="I19" s="9">
        <f>1197.62/5</f>
        <v>239.52399999999997</v>
      </c>
      <c r="J19" s="7"/>
    </row>
    <row r="20" spans="1:10" x14ac:dyDescent="0.25">
      <c r="A20" s="7">
        <v>18</v>
      </c>
      <c r="B20" s="7" t="s">
        <v>25</v>
      </c>
      <c r="C20" s="8">
        <v>8250</v>
      </c>
      <c r="D20" s="9">
        <v>63</v>
      </c>
      <c r="E20" s="9">
        <v>260</v>
      </c>
      <c r="F20" s="9">
        <v>260</v>
      </c>
      <c r="G20" s="10" t="s">
        <v>7</v>
      </c>
      <c r="H20" s="9">
        <f>510/5</f>
        <v>102</v>
      </c>
      <c r="I20" s="9">
        <f>950/5</f>
        <v>190</v>
      </c>
      <c r="J20" s="7"/>
    </row>
    <row r="21" spans="1:10" x14ac:dyDescent="0.25">
      <c r="A21" s="7">
        <v>19</v>
      </c>
      <c r="B21" s="7" t="s">
        <v>26</v>
      </c>
      <c r="C21" s="8">
        <v>17684</v>
      </c>
      <c r="D21" s="9">
        <v>39.909999999999997</v>
      </c>
      <c r="E21" s="9">
        <v>341.04</v>
      </c>
      <c r="F21" s="9">
        <v>46.25</v>
      </c>
      <c r="G21" s="9">
        <f>616.76/5</f>
        <v>123.352</v>
      </c>
      <c r="H21" s="9">
        <f>152.38/5</f>
        <v>30.475999999999999</v>
      </c>
      <c r="I21" s="9">
        <f>152.38/5</f>
        <v>30.475999999999999</v>
      </c>
      <c r="J21" s="7"/>
    </row>
    <row r="22" spans="1:10" x14ac:dyDescent="0.25">
      <c r="A22" s="7">
        <v>20</v>
      </c>
      <c r="B22" s="7" t="s">
        <v>27</v>
      </c>
      <c r="C22" s="8">
        <v>18432</v>
      </c>
      <c r="D22" s="9">
        <v>76.7</v>
      </c>
      <c r="E22" s="9">
        <v>248.44</v>
      </c>
      <c r="F22" s="9">
        <v>316.27</v>
      </c>
      <c r="G22" s="10" t="s">
        <v>7</v>
      </c>
      <c r="H22" s="9">
        <f>59.85/5</f>
        <v>11.97</v>
      </c>
      <c r="I22" s="9">
        <f>59.85/5</f>
        <v>11.97</v>
      </c>
      <c r="J22" s="7"/>
    </row>
    <row r="23" spans="1:10" x14ac:dyDescent="0.25">
      <c r="A23" s="7">
        <v>21</v>
      </c>
      <c r="B23" s="7" t="s">
        <v>28</v>
      </c>
      <c r="C23" s="8">
        <v>5380</v>
      </c>
      <c r="D23" s="9">
        <v>26</v>
      </c>
      <c r="E23" s="9">
        <v>478</v>
      </c>
      <c r="F23" s="9">
        <v>478</v>
      </c>
      <c r="G23" s="10" t="s">
        <v>7</v>
      </c>
      <c r="H23" s="9">
        <f>43/5</f>
        <v>8.6</v>
      </c>
      <c r="I23" s="9">
        <f>68/5</f>
        <v>13.6</v>
      </c>
      <c r="J23" s="7"/>
    </row>
    <row r="24" spans="1:10" x14ac:dyDescent="0.25">
      <c r="A24" s="7">
        <v>22</v>
      </c>
      <c r="B24" s="7" t="s">
        <v>29</v>
      </c>
      <c r="C24" s="8">
        <v>5245</v>
      </c>
      <c r="D24" s="9">
        <v>19.100000000000001</v>
      </c>
      <c r="E24" s="9">
        <v>382</v>
      </c>
      <c r="F24" s="10" t="s">
        <v>7</v>
      </c>
      <c r="G24" s="9">
        <f>19.1/5</f>
        <v>3.8200000000000003</v>
      </c>
      <c r="H24" s="9">
        <f>955/5</f>
        <v>191</v>
      </c>
      <c r="I24" s="9">
        <f>955/5</f>
        <v>191</v>
      </c>
      <c r="J24" s="7"/>
    </row>
    <row r="25" spans="1:10" ht="79.5" customHeight="1" x14ac:dyDescent="0.25">
      <c r="D25" s="2"/>
      <c r="J25" s="32" t="s">
        <v>50</v>
      </c>
    </row>
    <row r="26" spans="1:10" x14ac:dyDescent="0.25">
      <c r="D26" s="2"/>
    </row>
    <row r="27" spans="1:10" x14ac:dyDescent="0.25">
      <c r="D27" s="2"/>
    </row>
    <row r="28" spans="1:10" x14ac:dyDescent="0.25">
      <c r="D28" s="2"/>
    </row>
    <row r="29" spans="1:10" x14ac:dyDescent="0.25">
      <c r="D29" s="2"/>
    </row>
    <row r="30" spans="1:10" x14ac:dyDescent="0.25">
      <c r="D30" s="2"/>
    </row>
    <row r="31" spans="1:10" x14ac:dyDescent="0.25">
      <c r="D31" s="2"/>
    </row>
    <row r="32" spans="1:10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</sheetData>
  <autoFilter ref="A1:I1" xr:uid="{0DB6205F-5263-40EB-878C-B47753A946D6}">
    <sortState xmlns:xlrd2="http://schemas.microsoft.com/office/spreadsheetml/2017/richdata2" ref="A2:I24">
      <sortCondition ref="A1"/>
    </sortState>
  </autoFilter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A4EC2-C701-4110-82C7-61D3507C0861}">
  <sheetPr>
    <pageSetUpPr fitToPage="1"/>
  </sheetPr>
  <dimension ref="A1:K38"/>
  <sheetViews>
    <sheetView workbookViewId="0">
      <selection activeCell="B46" sqref="B46"/>
    </sheetView>
  </sheetViews>
  <sheetFormatPr defaultRowHeight="15" x14ac:dyDescent="0.25"/>
  <cols>
    <col min="1" max="1" width="15" bestFit="1" customWidth="1"/>
    <col min="2" max="2" width="12" customWidth="1"/>
    <col min="3" max="3" width="12.85546875" customWidth="1"/>
    <col min="4" max="7" width="11.140625" customWidth="1"/>
    <col min="8" max="8" width="13.85546875" customWidth="1"/>
    <col min="9" max="9" width="14" customWidth="1"/>
    <col min="10" max="10" width="13.7109375" customWidth="1"/>
    <col min="11" max="11" width="14.140625" customWidth="1"/>
  </cols>
  <sheetData>
    <row r="1" spans="1:11" x14ac:dyDescent="0.25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7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x14ac:dyDescent="0.25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20" customFormat="1" ht="28.9" customHeight="1" x14ac:dyDescent="0.25">
      <c r="A4" s="24"/>
      <c r="B4" s="30" t="s">
        <v>34</v>
      </c>
      <c r="C4" s="30" t="s">
        <v>35</v>
      </c>
      <c r="D4" s="30" t="s">
        <v>36</v>
      </c>
      <c r="E4" s="30" t="s">
        <v>38</v>
      </c>
      <c r="F4" s="30" t="s">
        <v>37</v>
      </c>
      <c r="G4" s="30" t="s">
        <v>39</v>
      </c>
      <c r="H4" s="30" t="s">
        <v>40</v>
      </c>
      <c r="I4" s="30" t="s">
        <v>41</v>
      </c>
      <c r="J4" s="30" t="s">
        <v>45</v>
      </c>
      <c r="K4" s="30" t="s">
        <v>46</v>
      </c>
    </row>
    <row r="5" spans="1:11" s="20" customFormat="1" ht="6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21" t="s">
        <v>31</v>
      </c>
      <c r="B6" s="33">
        <f>23.27*1.087010667</f>
        <v>25.294738221089997</v>
      </c>
      <c r="C6" s="33">
        <f>46.54*1.087010667</f>
        <v>50.589476442179993</v>
      </c>
      <c r="D6" s="33">
        <f>164.01*1.087010667</f>
        <v>178.28061949466999</v>
      </c>
      <c r="E6" s="33">
        <f>820.02*1.087010667</f>
        <v>891.37048715333992</v>
      </c>
      <c r="F6" s="33">
        <f>235.99*1.087010667</f>
        <v>256.52364730532997</v>
      </c>
      <c r="G6" s="33">
        <f>1179.95*1.087010667</f>
        <v>1282.61823652665</v>
      </c>
      <c r="H6" s="33">
        <f>353.98*1.087010667</f>
        <v>384.78003590466</v>
      </c>
      <c r="I6" s="33">
        <f>1769.92*1.087010667</f>
        <v>1923.9219197366399</v>
      </c>
      <c r="J6" s="33">
        <f>177.3*1.087010667</f>
        <v>192.7269912591</v>
      </c>
      <c r="K6" s="33">
        <f>731.31*1.087010667</f>
        <v>794.94177088376989</v>
      </c>
    </row>
    <row r="7" spans="1:11" x14ac:dyDescent="0.25">
      <c r="A7" s="38" t="s">
        <v>32</v>
      </c>
      <c r="B7" s="34">
        <v>26.25</v>
      </c>
      <c r="C7" s="34">
        <f>B7*2</f>
        <v>52.5</v>
      </c>
      <c r="D7" s="34">
        <v>177.56</v>
      </c>
      <c r="E7" s="34">
        <v>887.8</v>
      </c>
      <c r="F7" s="34">
        <v>256.69</v>
      </c>
      <c r="G7" s="34">
        <v>1283.45</v>
      </c>
      <c r="H7" s="34">
        <f>256.69*1.5</f>
        <v>385.03499999999997</v>
      </c>
      <c r="I7" s="34">
        <f>1283.45*1.5</f>
        <v>1925.1750000000002</v>
      </c>
      <c r="J7" s="34">
        <v>193</v>
      </c>
      <c r="K7" s="34">
        <v>772</v>
      </c>
    </row>
    <row r="8" spans="1:11" ht="6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5">
      <c r="A9" s="23" t="s">
        <v>42</v>
      </c>
      <c r="B9" s="37">
        <f t="shared" ref="B9:K9" si="0">B7-B6</f>
        <v>0.9552617789100033</v>
      </c>
      <c r="C9" s="37">
        <f t="shared" si="0"/>
        <v>1.9105235578200066</v>
      </c>
      <c r="D9" s="37">
        <f t="shared" si="0"/>
        <v>-0.72061949466998954</v>
      </c>
      <c r="E9" s="37">
        <f t="shared" si="0"/>
        <v>-3.5704871533399682</v>
      </c>
      <c r="F9" s="37">
        <f t="shared" si="0"/>
        <v>0.16635269467002445</v>
      </c>
      <c r="G9" s="37">
        <f t="shared" si="0"/>
        <v>0.8317634733500654</v>
      </c>
      <c r="H9" s="37">
        <f t="shared" si="0"/>
        <v>0.25496409533997166</v>
      </c>
      <c r="I9" s="37">
        <f t="shared" si="0"/>
        <v>1.2530802633602889</v>
      </c>
      <c r="J9" s="37">
        <f t="shared" si="0"/>
        <v>0.27300874089999638</v>
      </c>
      <c r="K9" s="37">
        <f t="shared" si="0"/>
        <v>-22.941770883769891</v>
      </c>
    </row>
    <row r="10" spans="1:11" x14ac:dyDescent="0.25">
      <c r="A10" s="25" t="s">
        <v>43</v>
      </c>
      <c r="B10" s="22">
        <f t="shared" ref="B10:K10" si="1">B9/B6</f>
        <v>3.7765236807769553E-2</v>
      </c>
      <c r="C10" s="22">
        <f t="shared" si="1"/>
        <v>3.7765236807769553E-2</v>
      </c>
      <c r="D10" s="22">
        <f t="shared" si="1"/>
        <v>-4.0420517760851385E-3</v>
      </c>
      <c r="E10" s="22">
        <f t="shared" si="1"/>
        <v>-4.0056151788720237E-3</v>
      </c>
      <c r="F10" s="22">
        <f t="shared" si="1"/>
        <v>6.4848873161397634E-4</v>
      </c>
      <c r="G10" s="22">
        <f t="shared" si="1"/>
        <v>6.4848873161393189E-4</v>
      </c>
      <c r="H10" s="22">
        <f t="shared" si="1"/>
        <v>6.6262298338977789E-4</v>
      </c>
      <c r="I10" s="22">
        <f t="shared" si="1"/>
        <v>6.5131555002596962E-4</v>
      </c>
      <c r="J10" s="22">
        <f t="shared" si="1"/>
        <v>1.4165568564963819E-3</v>
      </c>
      <c r="K10" s="22">
        <f t="shared" si="1"/>
        <v>-2.8859687242582019E-2</v>
      </c>
    </row>
    <row r="11" spans="1:11" ht="6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 x14ac:dyDescent="0.25">
      <c r="A12" s="42" t="s">
        <v>44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28.9" customHeight="1" x14ac:dyDescent="0.25">
      <c r="A13" s="24"/>
      <c r="B13" s="24" t="s">
        <v>34</v>
      </c>
      <c r="C13" s="24" t="s">
        <v>35</v>
      </c>
      <c r="D13" s="24" t="s">
        <v>36</v>
      </c>
      <c r="E13" s="24" t="s">
        <v>38</v>
      </c>
      <c r="F13" s="24" t="s">
        <v>37</v>
      </c>
      <c r="G13" s="24" t="s">
        <v>39</v>
      </c>
      <c r="H13" s="24" t="s">
        <v>40</v>
      </c>
      <c r="I13" s="24" t="s">
        <v>41</v>
      </c>
      <c r="J13" s="24" t="s">
        <v>45</v>
      </c>
      <c r="K13" s="24" t="s">
        <v>46</v>
      </c>
    </row>
    <row r="14" spans="1:11" ht="6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x14ac:dyDescent="0.25">
      <c r="A15" s="21" t="s">
        <v>31</v>
      </c>
      <c r="B15" s="33">
        <f>21.72*1.087010667</f>
        <v>23.609871687239998</v>
      </c>
      <c r="C15" s="33">
        <f>43.44*1.087010667</f>
        <v>47.219743374479997</v>
      </c>
      <c r="D15" s="33">
        <f>137.4*1.087010667</f>
        <v>149.35526564579999</v>
      </c>
      <c r="E15" s="33">
        <f>687.04*1.087010667</f>
        <v>746.81980865567994</v>
      </c>
      <c r="F15" s="33">
        <f>209.17*1.087010667</f>
        <v>227.37002121638997</v>
      </c>
      <c r="G15" s="33">
        <f>1045.8*1.087010667</f>
        <v>1136.7957555485998</v>
      </c>
      <c r="H15" s="33">
        <f>313.76*1.087010667</f>
        <v>341.06046687791996</v>
      </c>
      <c r="I15" s="33">
        <f>1568.79*1.087010667</f>
        <v>1705.2914642829298</v>
      </c>
      <c r="J15" s="33">
        <f>172.87*1.087010667</f>
        <v>187.91153400428999</v>
      </c>
      <c r="K15" s="33">
        <f>558.5*1.087010667</f>
        <v>607.09545751949997</v>
      </c>
    </row>
    <row r="16" spans="1:11" x14ac:dyDescent="0.25">
      <c r="A16" s="38" t="s">
        <v>32</v>
      </c>
      <c r="B16" s="34">
        <v>22.39</v>
      </c>
      <c r="C16" s="34">
        <v>44.78</v>
      </c>
      <c r="D16" s="34">
        <v>146.68</v>
      </c>
      <c r="E16" s="34">
        <v>733.4</v>
      </c>
      <c r="F16" s="34">
        <v>218.09</v>
      </c>
      <c r="G16" s="34">
        <v>1090.45</v>
      </c>
      <c r="H16" s="34">
        <v>327.14</v>
      </c>
      <c r="I16" s="34">
        <v>1635.68</v>
      </c>
      <c r="J16" s="34">
        <v>173.7</v>
      </c>
      <c r="K16" s="34">
        <v>579</v>
      </c>
    </row>
    <row r="17" spans="1:11" ht="6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5">
      <c r="A18" s="23" t="s">
        <v>42</v>
      </c>
      <c r="B18" s="37">
        <f t="shared" ref="B18:K18" si="2">B16-B15</f>
        <v>-1.2198716872399977</v>
      </c>
      <c r="C18" s="37">
        <f t="shared" si="2"/>
        <v>-2.4397433744799955</v>
      </c>
      <c r="D18" s="37">
        <f t="shared" si="2"/>
        <v>-2.6752656457999819</v>
      </c>
      <c r="E18" s="37">
        <f t="shared" si="2"/>
        <v>-13.419808655679958</v>
      </c>
      <c r="F18" s="37">
        <f t="shared" si="2"/>
        <v>-9.2800212163899687</v>
      </c>
      <c r="G18" s="37">
        <f t="shared" si="2"/>
        <v>-46.345755548599755</v>
      </c>
      <c r="H18" s="37">
        <f t="shared" si="2"/>
        <v>-13.920466877919978</v>
      </c>
      <c r="I18" s="37">
        <f t="shared" si="2"/>
        <v>-69.611464282929774</v>
      </c>
      <c r="J18" s="37">
        <f t="shared" si="2"/>
        <v>-14.211534004290002</v>
      </c>
      <c r="K18" s="37">
        <f t="shared" si="2"/>
        <v>-28.095457519499973</v>
      </c>
    </row>
    <row r="19" spans="1:11" x14ac:dyDescent="0.25">
      <c r="A19" s="25" t="s">
        <v>43</v>
      </c>
      <c r="B19" s="22">
        <f t="shared" ref="B19:K19" si="3">B18/B15</f>
        <v>-5.1667866026534982E-2</v>
      </c>
      <c r="C19" s="22">
        <f t="shared" si="3"/>
        <v>-5.1667866026534982E-2</v>
      </c>
      <c r="D19" s="22">
        <f t="shared" si="3"/>
        <v>-1.7912094590253322E-2</v>
      </c>
      <c r="E19" s="22">
        <f t="shared" si="3"/>
        <v>-1.7969272507429083E-2</v>
      </c>
      <c r="F19" s="22">
        <f t="shared" si="3"/>
        <v>-4.0814620884246186E-2</v>
      </c>
      <c r="G19" s="22">
        <f t="shared" si="3"/>
        <v>-4.0768761954282647E-2</v>
      </c>
      <c r="H19" s="22">
        <f t="shared" si="3"/>
        <v>-4.0815246062812387E-2</v>
      </c>
      <c r="I19" s="22">
        <f t="shared" si="3"/>
        <v>-4.0820860093967098E-2</v>
      </c>
      <c r="J19" s="22">
        <f t="shared" si="3"/>
        <v>-7.5628854181806399E-2</v>
      </c>
      <c r="K19" s="22">
        <f t="shared" si="3"/>
        <v>-4.6278484168360862E-2</v>
      </c>
    </row>
    <row r="20" spans="1:11" ht="6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5.75" x14ac:dyDescent="0.25">
      <c r="A21" s="42" t="s">
        <v>47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28.9" customHeight="1" x14ac:dyDescent="0.25">
      <c r="A22" s="24"/>
      <c r="B22" s="24" t="s">
        <v>34</v>
      </c>
      <c r="C22" s="24" t="s">
        <v>35</v>
      </c>
      <c r="D22" s="24" t="s">
        <v>36</v>
      </c>
      <c r="E22" s="24" t="s">
        <v>38</v>
      </c>
      <c r="F22" s="24" t="s">
        <v>37</v>
      </c>
      <c r="G22" s="24" t="s">
        <v>39</v>
      </c>
      <c r="H22" s="24" t="s">
        <v>40</v>
      </c>
      <c r="I22" s="24" t="s">
        <v>41</v>
      </c>
      <c r="J22" s="24" t="s">
        <v>45</v>
      </c>
      <c r="K22" s="24" t="s">
        <v>46</v>
      </c>
    </row>
    <row r="23" spans="1:11" ht="6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x14ac:dyDescent="0.25">
      <c r="A24" s="21" t="s">
        <v>31</v>
      </c>
      <c r="B24" s="33">
        <f>20.83*1.087010667</f>
        <v>22.642432193609995</v>
      </c>
      <c r="C24" s="33">
        <f>41.67*1.087010667</f>
        <v>45.295734493890002</v>
      </c>
      <c r="D24" s="33">
        <f>124.11*1.087010667</f>
        <v>134.90889388136998</v>
      </c>
      <c r="E24" s="33">
        <f>620.56*1.087010667</f>
        <v>674.55533951351993</v>
      </c>
      <c r="F24" s="33">
        <f>146.27*1.087010667</f>
        <v>158.99705026209</v>
      </c>
      <c r="G24" s="33">
        <f>731.37*1.087010667</f>
        <v>795.00699152378991</v>
      </c>
      <c r="H24" s="35" t="s">
        <v>7</v>
      </c>
      <c r="I24" s="35" t="s">
        <v>7</v>
      </c>
      <c r="J24" s="35" t="s">
        <v>7</v>
      </c>
      <c r="K24" s="35" t="s">
        <v>7</v>
      </c>
    </row>
    <row r="25" spans="1:11" x14ac:dyDescent="0.25">
      <c r="A25" s="38" t="s">
        <v>32</v>
      </c>
      <c r="B25" s="34">
        <v>20.46</v>
      </c>
      <c r="C25" s="34">
        <v>40.92</v>
      </c>
      <c r="D25" s="34">
        <v>110.01</v>
      </c>
      <c r="E25" s="34">
        <v>550.04999999999995</v>
      </c>
      <c r="F25" s="34">
        <v>179.49</v>
      </c>
      <c r="G25" s="34">
        <v>897.45</v>
      </c>
      <c r="H25" s="36" t="s">
        <v>7</v>
      </c>
      <c r="I25" s="36" t="s">
        <v>7</v>
      </c>
      <c r="J25" s="36" t="s">
        <v>7</v>
      </c>
      <c r="K25" s="36" t="s">
        <v>7</v>
      </c>
    </row>
    <row r="26" spans="1:11" ht="6" customHeight="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25">
      <c r="A27" s="23" t="s">
        <v>42</v>
      </c>
      <c r="B27" s="37">
        <f t="shared" ref="B27:G27" si="4">B25-B24</f>
        <v>-2.1824321936099942</v>
      </c>
      <c r="C27" s="37">
        <f t="shared" si="4"/>
        <v>-4.3757344938900005</v>
      </c>
      <c r="D27" s="37">
        <f t="shared" si="4"/>
        <v>-24.898893881369972</v>
      </c>
      <c r="E27" s="37">
        <f t="shared" si="4"/>
        <v>-124.50533951351997</v>
      </c>
      <c r="F27" s="37">
        <f t="shared" si="4"/>
        <v>20.49294973791001</v>
      </c>
      <c r="G27" s="37">
        <f t="shared" si="4"/>
        <v>102.44300847621014</v>
      </c>
      <c r="H27" s="26" t="s">
        <v>7</v>
      </c>
      <c r="I27" s="26" t="s">
        <v>7</v>
      </c>
      <c r="J27" s="28" t="s">
        <v>7</v>
      </c>
      <c r="K27" s="28" t="s">
        <v>7</v>
      </c>
    </row>
    <row r="28" spans="1:11" x14ac:dyDescent="0.25">
      <c r="A28" s="25" t="s">
        <v>43</v>
      </c>
      <c r="B28" s="22">
        <f t="shared" ref="B28:G28" si="5">B27/B24</f>
        <v>-9.6386826951651711E-2</v>
      </c>
      <c r="C28" s="22">
        <f t="shared" si="5"/>
        <v>-9.6603676765198473E-2</v>
      </c>
      <c r="D28" s="22">
        <f t="shared" si="5"/>
        <v>-0.18456080370256703</v>
      </c>
      <c r="E28" s="22">
        <f t="shared" si="5"/>
        <v>-0.1845739440789417</v>
      </c>
      <c r="F28" s="22">
        <f t="shared" si="5"/>
        <v>0.1288888674609342</v>
      </c>
      <c r="G28" s="22">
        <f t="shared" si="5"/>
        <v>0.12885799693391076</v>
      </c>
      <c r="H28" s="27" t="s">
        <v>7</v>
      </c>
      <c r="I28" s="27" t="s">
        <v>7</v>
      </c>
      <c r="J28" s="29" t="s">
        <v>7</v>
      </c>
      <c r="K28" s="29" t="s">
        <v>7</v>
      </c>
    </row>
    <row r="29" spans="1:11" ht="6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5.75" x14ac:dyDescent="0.25">
      <c r="A30" s="42" t="s">
        <v>48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28.9" customHeight="1" x14ac:dyDescent="0.25">
      <c r="A31" s="24"/>
      <c r="B31" s="24" t="s">
        <v>34</v>
      </c>
      <c r="C31" s="24" t="s">
        <v>35</v>
      </c>
      <c r="D31" s="24" t="s">
        <v>36</v>
      </c>
      <c r="E31" s="24" t="s">
        <v>38</v>
      </c>
      <c r="F31" s="24" t="s">
        <v>37</v>
      </c>
      <c r="G31" s="24" t="s">
        <v>39</v>
      </c>
      <c r="H31" s="24" t="s">
        <v>40</v>
      </c>
      <c r="I31" s="24" t="s">
        <v>41</v>
      </c>
      <c r="J31" s="24" t="s">
        <v>45</v>
      </c>
      <c r="K31" s="24" t="s">
        <v>46</v>
      </c>
    </row>
    <row r="32" spans="1:11" ht="6" customHeigh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x14ac:dyDescent="0.25">
      <c r="A33" s="21" t="s">
        <v>31</v>
      </c>
      <c r="B33" s="33">
        <f>19.28*1.087010667</f>
        <v>20.95756565976</v>
      </c>
      <c r="C33" s="33">
        <f>38.56*1.087010667</f>
        <v>41.91513131952</v>
      </c>
      <c r="D33" s="33">
        <f>97.52*1.087010667</f>
        <v>106.00528024583998</v>
      </c>
      <c r="E33" s="33">
        <f>487.58*1.087010667</f>
        <v>530.00466101585994</v>
      </c>
      <c r="F33" s="33">
        <f>113.03*1.087010667</f>
        <v>122.86481569100999</v>
      </c>
      <c r="G33" s="33">
        <f>565.15*1.087010667</f>
        <v>614.32407845504997</v>
      </c>
      <c r="H33" s="35" t="s">
        <v>7</v>
      </c>
      <c r="I33" s="35" t="s">
        <v>7</v>
      </c>
      <c r="J33" s="35" t="s">
        <v>7</v>
      </c>
      <c r="K33" s="35" t="s">
        <v>7</v>
      </c>
    </row>
    <row r="34" spans="1:11" x14ac:dyDescent="0.25">
      <c r="A34" s="38" t="s">
        <v>32</v>
      </c>
      <c r="B34" s="34">
        <v>18.53</v>
      </c>
      <c r="C34" s="34">
        <v>37.06</v>
      </c>
      <c r="D34" s="34">
        <v>100.36</v>
      </c>
      <c r="E34" s="34">
        <v>501.8</v>
      </c>
      <c r="F34" s="34">
        <v>169.84</v>
      </c>
      <c r="G34" s="34">
        <v>849.2</v>
      </c>
      <c r="H34" s="36" t="s">
        <v>7</v>
      </c>
      <c r="I34" s="36" t="s">
        <v>7</v>
      </c>
      <c r="J34" s="36" t="s">
        <v>7</v>
      </c>
      <c r="K34" s="36" t="s">
        <v>7</v>
      </c>
    </row>
    <row r="35" spans="1:11" ht="6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x14ac:dyDescent="0.25">
      <c r="A36" s="23" t="s">
        <v>42</v>
      </c>
      <c r="B36" s="37">
        <f t="shared" ref="B36:G36" si="6">B34-B33</f>
        <v>-2.4275656597599991</v>
      </c>
      <c r="C36" s="37">
        <f t="shared" si="6"/>
        <v>-4.8551313195199981</v>
      </c>
      <c r="D36" s="37">
        <f t="shared" si="6"/>
        <v>-5.6452802458399844</v>
      </c>
      <c r="E36" s="37">
        <f t="shared" si="6"/>
        <v>-28.204661015859926</v>
      </c>
      <c r="F36" s="37">
        <f t="shared" si="6"/>
        <v>46.975184308990009</v>
      </c>
      <c r="G36" s="37">
        <f t="shared" si="6"/>
        <v>234.87592154495007</v>
      </c>
      <c r="H36" s="26" t="s">
        <v>7</v>
      </c>
      <c r="I36" s="26" t="s">
        <v>7</v>
      </c>
      <c r="J36" s="28" t="s">
        <v>7</v>
      </c>
      <c r="K36" s="28" t="s">
        <v>7</v>
      </c>
    </row>
    <row r="37" spans="1:11" x14ac:dyDescent="0.25">
      <c r="A37" s="25" t="s">
        <v>43</v>
      </c>
      <c r="B37" s="22">
        <f t="shared" ref="B37:G37" si="7">B36/B33</f>
        <v>-0.11583242534800194</v>
      </c>
      <c r="C37" s="22">
        <f t="shared" si="7"/>
        <v>-0.11583242534800194</v>
      </c>
      <c r="D37" s="22">
        <f t="shared" si="7"/>
        <v>-5.3254707998958616E-2</v>
      </c>
      <c r="E37" s="22">
        <f t="shared" si="7"/>
        <v>-5.3215873539300677E-2</v>
      </c>
      <c r="F37" s="22">
        <f t="shared" si="7"/>
        <v>0.38233227344048487</v>
      </c>
      <c r="G37" s="22">
        <f t="shared" si="7"/>
        <v>0.38233227344048493</v>
      </c>
      <c r="H37" s="27" t="s">
        <v>7</v>
      </c>
      <c r="I37" s="27" t="s">
        <v>7</v>
      </c>
      <c r="J37" s="29" t="s">
        <v>7</v>
      </c>
      <c r="K37" s="29" t="s">
        <v>7</v>
      </c>
    </row>
    <row r="38" spans="1:11" ht="6.6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</sheetData>
  <mergeCells count="17">
    <mergeCell ref="A11:K11"/>
    <mergeCell ref="A8:K8"/>
    <mergeCell ref="A38:K38"/>
    <mergeCell ref="A32:K32"/>
    <mergeCell ref="A35:K35"/>
    <mergeCell ref="A1:K2"/>
    <mergeCell ref="A3:K3"/>
    <mergeCell ref="A12:K12"/>
    <mergeCell ref="A21:K21"/>
    <mergeCell ref="A30:K30"/>
    <mergeCell ref="A23:K23"/>
    <mergeCell ref="A26:K26"/>
    <mergeCell ref="A29:K29"/>
    <mergeCell ref="A14:K14"/>
    <mergeCell ref="A17:K17"/>
    <mergeCell ref="A20:K20"/>
    <mergeCell ref="A5:K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Primerjalni izračun</vt:lpstr>
      <vt:lpstr>Primerjava odlokov 2017 - 2023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Tadej</dc:creator>
  <cp:lastModifiedBy>User</cp:lastModifiedBy>
  <cp:lastPrinted>2023-01-18T08:07:51Z</cp:lastPrinted>
  <dcterms:created xsi:type="dcterms:W3CDTF">2022-05-06T09:38:51Z</dcterms:created>
  <dcterms:modified xsi:type="dcterms:W3CDTF">2023-03-03T08:36:43Z</dcterms:modified>
</cp:coreProperties>
</file>