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795" windowHeight="13545" activeTab="0"/>
  </bookViews>
  <sheets>
    <sheet name="List1" sheetId="1" r:id="rId1"/>
    <sheet name="List2" sheetId="2" r:id="rId2"/>
    <sheet name="List3" sheetId="3" r:id="rId3"/>
  </sheets>
  <definedNames/>
  <calcPr fullCalcOnLoad="1" refMode="R1C1"/>
</workbook>
</file>

<file path=xl/comments1.xml><?xml version="1.0" encoding="utf-8"?>
<comments xmlns="http://schemas.openxmlformats.org/spreadsheetml/2006/main">
  <authors>
    <author>Barbara</author>
  </authors>
  <commentList>
    <comment ref="E156" authorId="0">
      <text>
        <r>
          <rPr>
            <b/>
            <sz val="8"/>
            <rFont val="Tahoma"/>
            <family val="0"/>
          </rPr>
          <t>Barbara: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<sst xmlns="http://schemas.openxmlformats.org/spreadsheetml/2006/main" count="141" uniqueCount="130">
  <si>
    <t>KS HOLMEC</t>
  </si>
  <si>
    <t>OBČINA</t>
  </si>
  <si>
    <t>CESTA FARA-
STRAŽIŠČE</t>
  </si>
  <si>
    <t>CESTA SUHI
VRH</t>
  </si>
  <si>
    <t>KROŽIŠČE 
I. FAZA</t>
  </si>
  <si>
    <t>REKONSTRUKCIJA
CESTA STARE SLEDI</t>
  </si>
  <si>
    <t>CESTA SUHI
VRH-PRIKLJUČKI</t>
  </si>
  <si>
    <t>CESTA SUHI
VRH IV.FAZA</t>
  </si>
  <si>
    <t>RAZBREMENILNA CESTA PREVALJE</t>
  </si>
  <si>
    <t>DOVOZ GLINIK
POLJANA</t>
  </si>
  <si>
    <t>DOVOZNA CESTA ŠENTANEL</t>
  </si>
  <si>
    <t>PARKIRIŠČE PRI
VRTCU POD GON.</t>
  </si>
  <si>
    <t>PARKIRIŠČE DD</t>
  </si>
  <si>
    <t>ODLAGALIŠČE
KOCEROD</t>
  </si>
  <si>
    <t>KS ŠENTANEL</t>
  </si>
  <si>
    <t>KANALIZACIJA
ČRNEC</t>
  </si>
  <si>
    <t>KS LEŠE</t>
  </si>
  <si>
    <t>KOLEKTOR
PREVALJE-LEŠE</t>
  </si>
  <si>
    <t>KANALIZACIJA TAKSA</t>
  </si>
  <si>
    <t>KANALIZACIJA STARE
SLEDI</t>
  </si>
  <si>
    <t>FLISOV POTOK</t>
  </si>
  <si>
    <t>VODNOGOSP.UKREPI
LAHOVNIK</t>
  </si>
  <si>
    <t>VODOVOD LEŠE</t>
  </si>
  <si>
    <t>POSL.STANOV. OBJEKT TRG 36</t>
  </si>
  <si>
    <t>JAVNA 
RAZSVETLJAVA</t>
  </si>
  <si>
    <t>ZD PREVALJE</t>
  </si>
  <si>
    <t>LETNI BAZEN- RAVNE</t>
  </si>
  <si>
    <t>DRUŽBENI DOM</t>
  </si>
  <si>
    <t>DEVETLETKA OŠ</t>
  </si>
  <si>
    <t>OŠ HOLMEC</t>
  </si>
  <si>
    <t>NOVOGRADNJA DOMA</t>
  </si>
  <si>
    <t>CESTA LEŠE</t>
  </si>
  <si>
    <t>PROMETNA URED. ŠTOPAR</t>
  </si>
  <si>
    <t>PARKIRIŠČE 
PRI POŠTI</t>
  </si>
  <si>
    <t>ODLAGALIŠČE
ZBIRNI CENTER</t>
  </si>
  <si>
    <t>PROJEKT 
RAČEL LOG</t>
  </si>
  <si>
    <t>STANOVANJA
TRG 58 A</t>
  </si>
  <si>
    <t>OSKRBA S
PITNO VODO</t>
  </si>
  <si>
    <t>KNJIŽNICA 
RAVNE</t>
  </si>
  <si>
    <t>STARA TELOVADNICA</t>
  </si>
  <si>
    <t>CESTA STROJNIK</t>
  </si>
  <si>
    <t>CESTA BRANČURNIK
DOBJA VAS</t>
  </si>
  <si>
    <t>CESTA GASIL.DOM-ZADRUGA</t>
  </si>
  <si>
    <t>CESTA NICINA</t>
  </si>
  <si>
    <t>CESTA POLJE</t>
  </si>
  <si>
    <t>KOLESARKSKA
POT A-SI ŠENTANEL</t>
  </si>
  <si>
    <t>KANALIZACIJA
STROJNIK-ŠTERN</t>
  </si>
  <si>
    <t>KANALIZACIJA 
GASILSKI DOM-PAGAT</t>
  </si>
  <si>
    <t>VODNOGOSPOD.
UKREPI</t>
  </si>
  <si>
    <t>PROJEKT 
URŠLJA GORA</t>
  </si>
  <si>
    <t>KROŽIŠČE NA 
FARI</t>
  </si>
  <si>
    <t>CESTA
SPODNJA JAMNICA</t>
  </si>
  <si>
    <t>CESTA SPODNJI KRAJ - HALI</t>
  </si>
  <si>
    <t>CESTA HARTL-STROJNIK</t>
  </si>
  <si>
    <t>CESTA ZA DRUŽBENIM DOMOM</t>
  </si>
  <si>
    <t>CESTA BRANČURNIK
KROŽIŠČE</t>
  </si>
  <si>
    <t>LAHOVNIK</t>
  </si>
  <si>
    <t>KANALIZACIJA ŠENTANEL</t>
  </si>
  <si>
    <t>GRADNJA KANALIZACIJE</t>
  </si>
  <si>
    <t>VODOVOD STRAŽIŠČE</t>
  </si>
  <si>
    <t>ZD RAVNE</t>
  </si>
  <si>
    <t>KNJIŽNICA DD</t>
  </si>
  <si>
    <t>MOHORJEVA HIŠA</t>
  </si>
  <si>
    <t>IGRIŠČE Z UMETNO TRAVO</t>
  </si>
  <si>
    <t>STREHA OŠ ŠENTANEL</t>
  </si>
  <si>
    <t>UREDITEV MRLIŠKE VEŽICE</t>
  </si>
  <si>
    <t>OBNOVA LOKALNIH CEST NA OBMOČJU ŠENTANELA</t>
  </si>
  <si>
    <t>CESTA HARTL-UGASLE PEČI</t>
  </si>
  <si>
    <t>OBNOVA CEST- OBMOČJE KOTA</t>
  </si>
  <si>
    <t>PEŠPOT POLJANA
HOLMEC</t>
  </si>
  <si>
    <t>CESTA ŠTOPAR-POLJANA</t>
  </si>
  <si>
    <t>VODOVOD GLAVARSTVO</t>
  </si>
  <si>
    <t>E-TOČKE LEŠE</t>
  </si>
  <si>
    <t>E-TOČKE ŠENTANEL</t>
  </si>
  <si>
    <t>KEGLJIŠČE DRUŽBENI DOM</t>
  </si>
  <si>
    <t xml:space="preserve">SANACIJA GRADBENE JAME  </t>
  </si>
  <si>
    <t>ŠPORTNI 
OBJEKTI STADION PREVALJE</t>
  </si>
  <si>
    <t>ŠPORTNI OBJEKT 
LEŠE</t>
  </si>
  <si>
    <t>NOVOGRADNJA VRTCA</t>
  </si>
  <si>
    <t>OBČINSKI PROSTORSKI NAČRT</t>
  </si>
  <si>
    <t>NAKUP ZEMLJIŠČ</t>
  </si>
  <si>
    <t>ŠENTANEL- ZASELEK
NOVE</t>
  </si>
  <si>
    <t>CESTA GONJE-ŽAŽE-BRINJEVA GORA</t>
  </si>
  <si>
    <t>CESTA ŽAGAR-KOT</t>
  </si>
  <si>
    <t>PLOČNIK PEČI ŽELEŽNIŠKA POSTAJA</t>
  </si>
  <si>
    <t>KROŽIŠČE-ŠPAR</t>
  </si>
  <si>
    <t>ŠPORTNI CENTER
HOLMEC</t>
  </si>
  <si>
    <t>IGRALA VRTEC
LEŠE</t>
  </si>
  <si>
    <t>NOVOGRADNJA JR</t>
  </si>
  <si>
    <t>UREDITEV VAŠKEGA
JEDRA LEŠE</t>
  </si>
  <si>
    <t>JR VAŠKO JEDRO
LEŠE</t>
  </si>
  <si>
    <t>CESTA POLJANA</t>
  </si>
  <si>
    <t>VODOVOD VAŠKO JEDRO LEŠE</t>
  </si>
  <si>
    <t>PARK IN OTROŠKA IGRIŠČA</t>
  </si>
  <si>
    <t>NAKUP STANOVANJ</t>
  </si>
  <si>
    <t>UREDITEV MESTNEGA
JEDRA PREVALJ</t>
  </si>
  <si>
    <t>OBJEKT POD GONJAMI</t>
  </si>
  <si>
    <t>ODVAJANJE IN ČIŠČENJE ODPADNE VODE</t>
  </si>
  <si>
    <t>URAVNOTEŽENJE VODOVODNEGA SISTEMA</t>
  </si>
  <si>
    <t>RUDARSKA VAS LEŠE</t>
  </si>
  <si>
    <t>CESTA FARA STRAŽIŠČE-NASELJE ROŽEJ</t>
  </si>
  <si>
    <t>CESTA DOLGA 
BRDA-SKUK</t>
  </si>
  <si>
    <t>CESTA STRAŽNICA
HOLMEC</t>
  </si>
  <si>
    <t>UREDITEV PROMETNIH POVEZAV NA PODEŽELJU</t>
  </si>
  <si>
    <t>CESTA TRO PERZONALI</t>
  </si>
  <si>
    <t>PROGRAM RAZ.TURIZMA JAMNICA</t>
  </si>
  <si>
    <t>POSLOVNE CONE</t>
  </si>
  <si>
    <t>FRANCISCOV ROV</t>
  </si>
  <si>
    <t>IGRIŠČE PRI ŠOLI</t>
  </si>
  <si>
    <t>OBNOVA MANJŠIH ASFALTNIH ODSEKOV</t>
  </si>
  <si>
    <t>UREDITEV MANJŠIH ASFALTNIH ODSEKOV</t>
  </si>
  <si>
    <t>MALINEK</t>
  </si>
  <si>
    <t>CESTA HOLMEC BELŠAK</t>
  </si>
  <si>
    <t>KANALIZACIJA MANJŠIH ODSEKOV</t>
  </si>
  <si>
    <t>VODOVOD</t>
  </si>
  <si>
    <t>POKOPALIŠČE  BARBARA</t>
  </si>
  <si>
    <t>PRAVLJIČNA 
VAS LEŠE</t>
  </si>
  <si>
    <t>SPOMINSKI PARK</t>
  </si>
  <si>
    <t>CESTA ŽELEŽNIŠKA POSTAJA ORTAN</t>
  </si>
  <si>
    <t>ENERG.SANACIJA OŠ PREVALJE</t>
  </si>
  <si>
    <t>KULTURNA SOBA</t>
  </si>
  <si>
    <t>CESTA SPODNJI KRAJ</t>
  </si>
  <si>
    <t>UREDITEV KANALIZACIJE TRG51,53</t>
  </si>
  <si>
    <t>ENERGETSKA SANACIJA ŠPORTNEGA KOMPLEKSA</t>
  </si>
  <si>
    <t>STARI VRTCI</t>
  </si>
  <si>
    <t>UREJANJE 
NASELIJ</t>
  </si>
  <si>
    <t>ENERGETSKA SANACIJA OŠ</t>
  </si>
  <si>
    <t>KANALIZACIJA LEŠE</t>
  </si>
  <si>
    <t>CESTA ŽERJAVLE</t>
  </si>
  <si>
    <t xml:space="preserve">        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</si>
</sst>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46">
      <selection activeCell="G170" sqref="G170"/>
    </sheetView>
  </sheetViews>
  <sheetFormatPr defaultColWidth="9.140625" defaultRowHeight="12.75"/>
  <cols>
    <col min="1" max="1" width="14.7109375" style="0" customWidth="1"/>
    <col min="2" max="2" width="15.140625" style="0" customWidth="1"/>
    <col min="3" max="3" width="16.57421875" style="0" customWidth="1"/>
    <col min="4" max="4" width="16.28125" style="0" customWidth="1"/>
    <col min="5" max="5" width="19.28125" style="0" customWidth="1"/>
    <col min="6" max="6" width="15.28125" style="0" customWidth="1"/>
    <col min="7" max="7" width="15.57421875" style="0" customWidth="1"/>
    <col min="8" max="8" width="17.57421875" style="0" customWidth="1"/>
    <col min="9" max="9" width="22.421875" style="0" customWidth="1"/>
    <col min="10" max="10" width="15.140625" style="0" customWidth="1"/>
    <col min="11" max="11" width="18.140625" style="0" customWidth="1"/>
    <col min="12" max="12" width="15.140625" style="0" customWidth="1"/>
    <col min="13" max="13" width="16.57421875" style="0" customWidth="1"/>
    <col min="16" max="16" width="11.7109375" style="0" bestFit="1" customWidth="1"/>
    <col min="18" max="18" width="12.7109375" style="0" bestFit="1" customWidth="1"/>
  </cols>
  <sheetData>
    <row r="1" ht="12.75">
      <c r="A1" s="1"/>
    </row>
    <row r="2" spans="1:13" ht="5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15</v>
      </c>
      <c r="K2" s="5" t="s">
        <v>11</v>
      </c>
      <c r="L2" s="5" t="s">
        <v>12</v>
      </c>
      <c r="M2" s="5" t="s">
        <v>13</v>
      </c>
    </row>
    <row r="3" spans="1:13" ht="12.75">
      <c r="A3" s="4">
        <v>2003</v>
      </c>
      <c r="B3" s="6">
        <f>42994.29+2086.46+451.32+2038.06</f>
        <v>47570.13</v>
      </c>
      <c r="C3" s="6">
        <f>112246.58+688.11+1477.22</f>
        <v>114411.91</v>
      </c>
      <c r="D3" s="6">
        <f>80926.82+1579.37+2971.12</f>
        <v>85477.31</v>
      </c>
      <c r="E3" s="6">
        <v>112216.7</v>
      </c>
      <c r="F3" s="6">
        <v>81401.45</v>
      </c>
      <c r="G3" s="6">
        <v>50043.83</v>
      </c>
      <c r="H3" s="6">
        <f>19163.87+21159.17+2347.26</f>
        <v>42670.299999999996</v>
      </c>
      <c r="I3" s="6">
        <f>325.49</f>
        <v>325.49</v>
      </c>
      <c r="J3" s="6">
        <f>2599.32+826.24</f>
        <v>3425.5600000000004</v>
      </c>
      <c r="K3" s="6">
        <f>13664.17+416.62</f>
        <v>14080.79</v>
      </c>
      <c r="L3" s="6">
        <v>10870</v>
      </c>
      <c r="M3" s="6">
        <f>9959.94+52220.46</f>
        <v>62180.4</v>
      </c>
    </row>
    <row r="4" spans="1:13" ht="12.75">
      <c r="A4" s="4">
        <v>2004</v>
      </c>
      <c r="B4" s="6">
        <f>3338.08+1655.42</f>
        <v>4993.5</v>
      </c>
      <c r="C4" s="6">
        <f>23532.71+761.14</f>
        <v>24293.85</v>
      </c>
      <c r="D4" s="6">
        <f>133436.65+1342.01</f>
        <v>134778.66</v>
      </c>
      <c r="E4" s="7"/>
      <c r="F4" s="7"/>
      <c r="G4" s="7"/>
      <c r="H4" s="6">
        <f>16848.86+491.63</f>
        <v>17340.49</v>
      </c>
      <c r="I4" s="6">
        <v>1402.1</v>
      </c>
      <c r="J4" s="7"/>
      <c r="K4" s="7"/>
      <c r="L4" s="7"/>
      <c r="M4" s="6">
        <f>271240.19+96564.85</f>
        <v>367805.04000000004</v>
      </c>
    </row>
    <row r="5" spans="1:13" ht="12.75">
      <c r="A5" s="4">
        <v>2005</v>
      </c>
      <c r="B5" s="6">
        <f>927.39+370.71+250.64</f>
        <v>1548.7399999999998</v>
      </c>
      <c r="C5" s="6"/>
      <c r="D5" s="6"/>
      <c r="E5" s="7"/>
      <c r="F5" s="7"/>
      <c r="G5" s="7"/>
      <c r="H5" s="6"/>
      <c r="I5" s="6"/>
      <c r="J5" s="7"/>
      <c r="K5" s="7"/>
      <c r="L5" s="7"/>
      <c r="M5" s="6">
        <v>21429.21</v>
      </c>
    </row>
    <row r="6" spans="1:13" ht="12.75">
      <c r="A6" s="4">
        <v>2006</v>
      </c>
      <c r="B6" s="6"/>
      <c r="C6" s="6"/>
      <c r="D6" s="6"/>
      <c r="E6" s="7"/>
      <c r="F6" s="7"/>
      <c r="G6" s="7"/>
      <c r="H6" s="6"/>
      <c r="I6" s="6"/>
      <c r="J6" s="7"/>
      <c r="K6" s="7"/>
      <c r="L6" s="7"/>
      <c r="M6" s="6">
        <v>233893</v>
      </c>
    </row>
    <row r="7" spans="1:13" ht="12.75">
      <c r="A7" s="4">
        <v>2007</v>
      </c>
      <c r="B7" s="6"/>
      <c r="C7" s="6">
        <v>20089</v>
      </c>
      <c r="D7" s="6"/>
      <c r="E7" s="7"/>
      <c r="F7" s="7"/>
      <c r="G7" s="7"/>
      <c r="H7" s="6"/>
      <c r="I7" s="6">
        <v>5090</v>
      </c>
      <c r="J7" s="7"/>
      <c r="K7" s="7"/>
      <c r="L7" s="8">
        <v>6759</v>
      </c>
      <c r="M7" s="6">
        <v>32072</v>
      </c>
    </row>
    <row r="8" spans="1:13" ht="12.75">
      <c r="A8" s="4">
        <v>2008</v>
      </c>
      <c r="B8" s="6">
        <v>20000</v>
      </c>
      <c r="C8" s="6">
        <v>31189.74</v>
      </c>
      <c r="D8" s="6"/>
      <c r="E8" s="7"/>
      <c r="F8" s="7"/>
      <c r="G8" s="7"/>
      <c r="H8" s="6"/>
      <c r="I8" s="6"/>
      <c r="J8" s="7"/>
      <c r="K8" s="7"/>
      <c r="L8" s="7"/>
      <c r="M8" s="6">
        <v>26393.57</v>
      </c>
    </row>
    <row r="9" spans="1:13" ht="12.75">
      <c r="A9" s="4">
        <v>2009</v>
      </c>
      <c r="B9" s="6"/>
      <c r="C9" s="6">
        <v>19518.74</v>
      </c>
      <c r="D9" s="6"/>
      <c r="E9" s="7"/>
      <c r="F9" s="7"/>
      <c r="G9" s="7"/>
      <c r="H9" s="6"/>
      <c r="I9" s="6"/>
      <c r="J9" s="7"/>
      <c r="K9" s="7"/>
      <c r="L9" s="7"/>
      <c r="M9" s="6">
        <v>618525.26</v>
      </c>
    </row>
    <row r="10" spans="1:13" ht="12.75">
      <c r="A10" s="4">
        <v>2010</v>
      </c>
      <c r="B10" s="6"/>
      <c r="C10" s="6"/>
      <c r="D10" s="6"/>
      <c r="E10" s="7"/>
      <c r="F10" s="7"/>
      <c r="G10" s="7"/>
      <c r="H10" s="6"/>
      <c r="I10" s="6"/>
      <c r="J10" s="7"/>
      <c r="K10" s="7"/>
      <c r="L10" s="7"/>
      <c r="M10" s="6">
        <v>561698.85</v>
      </c>
    </row>
    <row r="11" spans="1:13" ht="12.75">
      <c r="A11" s="4">
        <v>2011</v>
      </c>
      <c r="B11" s="6"/>
      <c r="C11" s="6"/>
      <c r="D11" s="6"/>
      <c r="E11" s="7"/>
      <c r="F11" s="7"/>
      <c r="G11" s="7"/>
      <c r="H11" s="6"/>
      <c r="I11" s="6"/>
      <c r="J11" s="7"/>
      <c r="K11" s="7"/>
      <c r="L11" s="7"/>
      <c r="M11" s="6">
        <v>297355.67</v>
      </c>
    </row>
    <row r="12" spans="1:13" ht="12.75">
      <c r="A12" s="4">
        <v>2012</v>
      </c>
      <c r="B12" s="6"/>
      <c r="C12" s="6"/>
      <c r="D12" s="6"/>
      <c r="E12" s="7"/>
      <c r="F12" s="7"/>
      <c r="G12" s="7"/>
      <c r="H12" s="6"/>
      <c r="I12" s="6"/>
      <c r="J12" s="7"/>
      <c r="K12" s="7"/>
      <c r="L12" s="7"/>
      <c r="M12" s="6">
        <v>143263.25</v>
      </c>
    </row>
    <row r="13" spans="1:13" ht="12.75">
      <c r="A13" s="4">
        <v>2013</v>
      </c>
      <c r="B13" s="6"/>
      <c r="C13" s="6"/>
      <c r="D13" s="6"/>
      <c r="E13" s="7"/>
      <c r="F13" s="7"/>
      <c r="G13" s="7"/>
      <c r="H13" s="6"/>
      <c r="I13" s="6"/>
      <c r="J13" s="7"/>
      <c r="K13" s="7"/>
      <c r="L13" s="7"/>
      <c r="M13" s="6">
        <v>148614.57</v>
      </c>
    </row>
    <row r="14" spans="1:13" ht="12.75">
      <c r="A14" s="4">
        <v>2014</v>
      </c>
      <c r="B14" s="6"/>
      <c r="C14" s="7">
        <v>3768.2</v>
      </c>
      <c r="D14" s="6"/>
      <c r="E14" s="7"/>
      <c r="F14" s="7"/>
      <c r="G14" s="7"/>
      <c r="H14" s="6"/>
      <c r="I14" s="6"/>
      <c r="J14" s="7"/>
      <c r="K14" s="7"/>
      <c r="L14" s="7"/>
      <c r="M14" s="6"/>
    </row>
    <row r="15" spans="1:16" ht="12.75">
      <c r="A15" s="4"/>
      <c r="B15" s="9">
        <f>SUM(B3:B14)</f>
        <v>74112.37</v>
      </c>
      <c r="C15" s="9">
        <f aca="true" t="shared" si="0" ref="C15:M15">SUM(C3:C14)</f>
        <v>213271.44</v>
      </c>
      <c r="D15" s="9">
        <f t="shared" si="0"/>
        <v>220255.97</v>
      </c>
      <c r="E15" s="9">
        <f t="shared" si="0"/>
        <v>112216.7</v>
      </c>
      <c r="F15" s="9">
        <f t="shared" si="0"/>
        <v>81401.45</v>
      </c>
      <c r="G15" s="9">
        <f t="shared" si="0"/>
        <v>50043.83</v>
      </c>
      <c r="H15" s="9">
        <f t="shared" si="0"/>
        <v>60010.78999999999</v>
      </c>
      <c r="I15" s="9">
        <f t="shared" si="0"/>
        <v>6817.59</v>
      </c>
      <c r="J15" s="9">
        <f t="shared" si="0"/>
        <v>3425.5600000000004</v>
      </c>
      <c r="K15" s="9">
        <f t="shared" si="0"/>
        <v>14080.79</v>
      </c>
      <c r="L15" s="9">
        <f t="shared" si="0"/>
        <v>17629</v>
      </c>
      <c r="M15" s="9">
        <f t="shared" si="0"/>
        <v>2513230.82</v>
      </c>
      <c r="P15" s="2">
        <f>SUM(B15:M15)</f>
        <v>3366496.3099999996</v>
      </c>
    </row>
    <row r="16" spans="1:13" ht="51">
      <c r="A16" s="4" t="s">
        <v>1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23</v>
      </c>
      <c r="G16" s="5" t="s">
        <v>24</v>
      </c>
      <c r="H16" s="5" t="s">
        <v>25</v>
      </c>
      <c r="I16" s="5" t="s">
        <v>26</v>
      </c>
      <c r="J16" s="5" t="s">
        <v>27</v>
      </c>
      <c r="K16" s="5" t="s">
        <v>28</v>
      </c>
      <c r="L16" s="5" t="s">
        <v>30</v>
      </c>
      <c r="M16" s="5" t="s">
        <v>32</v>
      </c>
    </row>
    <row r="17" spans="1:13" ht="12.75">
      <c r="A17" s="4">
        <v>2003</v>
      </c>
      <c r="B17" s="6">
        <v>139582.67</v>
      </c>
      <c r="C17" s="6">
        <v>51301.81</v>
      </c>
      <c r="D17" s="6">
        <f>112684.63+12909.36</f>
        <v>125593.99</v>
      </c>
      <c r="E17" s="6">
        <v>4590.22</v>
      </c>
      <c r="F17" s="6">
        <v>11266.9</v>
      </c>
      <c r="G17" s="6">
        <v>30192.09</v>
      </c>
      <c r="H17" s="6">
        <f>122887.4+37556.33+18463.43</f>
        <v>178907.15999999997</v>
      </c>
      <c r="I17" s="6">
        <v>29210.48</v>
      </c>
      <c r="J17" s="6">
        <v>6951.43</v>
      </c>
      <c r="K17" s="6">
        <f>32030.65+4172.93+4091.3</f>
        <v>40294.880000000005</v>
      </c>
      <c r="L17" s="6">
        <v>298138.03</v>
      </c>
      <c r="M17" s="6"/>
    </row>
    <row r="18" spans="1:13" ht="12.75">
      <c r="A18" s="4">
        <v>2004</v>
      </c>
      <c r="B18" s="6">
        <v>136909.99</v>
      </c>
      <c r="C18" s="6">
        <v>123.38</v>
      </c>
      <c r="D18" s="6"/>
      <c r="E18" s="7"/>
      <c r="F18" s="6">
        <f>79285.6+4934.36+428.86</f>
        <v>84648.82</v>
      </c>
      <c r="G18" s="6">
        <v>21743.14</v>
      </c>
      <c r="H18" s="6">
        <f>244162.52+4953.43</f>
        <v>249115.94999999998</v>
      </c>
      <c r="I18" s="6">
        <v>29210.48</v>
      </c>
      <c r="J18" s="6">
        <v>248.37</v>
      </c>
      <c r="K18" s="6">
        <f>26459.59+1680.52</f>
        <v>28140.11</v>
      </c>
      <c r="L18" s="7"/>
      <c r="M18" s="6">
        <v>1445.5</v>
      </c>
    </row>
    <row r="19" spans="1:13" ht="12.75">
      <c r="A19" s="4">
        <v>2005</v>
      </c>
      <c r="B19" s="6">
        <v>61429.57</v>
      </c>
      <c r="C19" s="6"/>
      <c r="D19" s="6">
        <f>928.89+1671.02</f>
        <v>2599.91</v>
      </c>
      <c r="E19" s="7"/>
      <c r="F19" s="6">
        <v>35052.58</v>
      </c>
      <c r="G19" s="6">
        <v>17821.51</v>
      </c>
      <c r="H19" s="6">
        <f>11454.68+24522.48+3425.14</f>
        <v>39402.3</v>
      </c>
      <c r="I19" s="7"/>
      <c r="J19" s="6">
        <v>44677.25</v>
      </c>
      <c r="K19" s="6">
        <f>7995.34+4656.38</f>
        <v>12651.720000000001</v>
      </c>
      <c r="L19" s="7"/>
      <c r="M19" s="7"/>
    </row>
    <row r="20" spans="1:13" ht="12.75">
      <c r="A20" s="4">
        <v>2006</v>
      </c>
      <c r="B20" s="6"/>
      <c r="C20" s="6"/>
      <c r="D20" s="6">
        <v>494</v>
      </c>
      <c r="E20" s="7"/>
      <c r="F20" s="6"/>
      <c r="G20" s="6">
        <v>11016</v>
      </c>
      <c r="H20" s="6"/>
      <c r="I20" s="7"/>
      <c r="J20" s="6">
        <v>105501</v>
      </c>
      <c r="K20" s="6">
        <v>33383</v>
      </c>
      <c r="L20" s="7"/>
      <c r="M20" s="7"/>
    </row>
    <row r="21" spans="1:13" ht="12.75">
      <c r="A21" s="4">
        <v>2007</v>
      </c>
      <c r="B21" s="6"/>
      <c r="C21" s="6"/>
      <c r="D21" s="6"/>
      <c r="E21" s="7"/>
      <c r="F21" s="6"/>
      <c r="G21" s="6">
        <v>25273</v>
      </c>
      <c r="H21" s="6"/>
      <c r="I21" s="7"/>
      <c r="J21" s="6">
        <v>270365</v>
      </c>
      <c r="K21" s="6">
        <v>52399</v>
      </c>
      <c r="L21" s="7"/>
      <c r="M21" s="7"/>
    </row>
    <row r="22" spans="1:13" ht="12.75">
      <c r="A22" s="4">
        <v>2008</v>
      </c>
      <c r="B22" s="6"/>
      <c r="C22" s="6"/>
      <c r="D22" s="6"/>
      <c r="E22" s="7"/>
      <c r="F22" s="6"/>
      <c r="G22" s="6">
        <v>12348.27</v>
      </c>
      <c r="H22" s="6"/>
      <c r="I22" s="7"/>
      <c r="J22" s="6">
        <v>327242.18</v>
      </c>
      <c r="K22" s="6">
        <v>3193.41</v>
      </c>
      <c r="L22" s="7"/>
      <c r="M22" s="7"/>
    </row>
    <row r="23" spans="1:13" ht="12.75">
      <c r="A23" s="4">
        <v>2009</v>
      </c>
      <c r="B23" s="6"/>
      <c r="C23" s="6"/>
      <c r="D23" s="6"/>
      <c r="E23" s="7"/>
      <c r="F23" s="6"/>
      <c r="G23" s="6">
        <v>16265.63</v>
      </c>
      <c r="H23" s="6"/>
      <c r="I23" s="7"/>
      <c r="J23" s="6">
        <v>222260.02</v>
      </c>
      <c r="K23" s="6">
        <v>18964.21</v>
      </c>
      <c r="L23" s="7"/>
      <c r="M23" s="7"/>
    </row>
    <row r="24" spans="1:13" ht="12.75">
      <c r="A24" s="4">
        <v>2010</v>
      </c>
      <c r="B24" s="6"/>
      <c r="C24" s="6"/>
      <c r="D24" s="6"/>
      <c r="E24" s="7"/>
      <c r="F24" s="6"/>
      <c r="G24" s="6">
        <v>9791.86</v>
      </c>
      <c r="H24" s="6"/>
      <c r="I24" s="7"/>
      <c r="J24" s="6">
        <v>462752.82</v>
      </c>
      <c r="K24" s="6"/>
      <c r="L24" s="7"/>
      <c r="M24" s="7"/>
    </row>
    <row r="25" spans="1:13" ht="12.75">
      <c r="A25" s="4">
        <v>2011</v>
      </c>
      <c r="B25" s="6"/>
      <c r="C25" s="6"/>
      <c r="D25" s="6"/>
      <c r="E25" s="7"/>
      <c r="F25" s="6"/>
      <c r="G25" s="6">
        <f>8092.34+3701.33</f>
        <v>11793.67</v>
      </c>
      <c r="H25" s="6"/>
      <c r="I25" s="7"/>
      <c r="J25" s="6">
        <v>38496.86</v>
      </c>
      <c r="K25" s="6"/>
      <c r="L25" s="7"/>
      <c r="M25" s="7"/>
    </row>
    <row r="26" spans="1:13" ht="12.75">
      <c r="A26" s="4">
        <v>2012</v>
      </c>
      <c r="B26" s="6"/>
      <c r="C26" s="6"/>
      <c r="D26" s="6"/>
      <c r="E26" s="7"/>
      <c r="F26" s="6"/>
      <c r="G26" s="6">
        <f>19539.86+33976.96</f>
        <v>53516.82</v>
      </c>
      <c r="H26" s="6"/>
      <c r="I26" s="7"/>
      <c r="J26" s="6"/>
      <c r="K26" s="6"/>
      <c r="L26" s="7"/>
      <c r="M26" s="7"/>
    </row>
    <row r="27" spans="1:13" ht="12.75">
      <c r="A27" s="4">
        <v>2013</v>
      </c>
      <c r="B27" s="6"/>
      <c r="C27" s="6"/>
      <c r="D27" s="6"/>
      <c r="E27" s="7"/>
      <c r="F27" s="6"/>
      <c r="G27" s="6">
        <f>16022.71+28376.31</f>
        <v>44399.020000000004</v>
      </c>
      <c r="H27" s="6"/>
      <c r="I27" s="7"/>
      <c r="J27" s="6"/>
      <c r="K27" s="6"/>
      <c r="L27" s="7"/>
      <c r="M27" s="7"/>
    </row>
    <row r="28" spans="1:13" ht="12.75">
      <c r="A28" s="4">
        <v>2014</v>
      </c>
      <c r="B28" s="6"/>
      <c r="C28" s="6"/>
      <c r="D28" s="6"/>
      <c r="E28" s="7"/>
      <c r="F28" s="6"/>
      <c r="G28" s="6">
        <v>23435.17</v>
      </c>
      <c r="H28" s="6"/>
      <c r="I28" s="7"/>
      <c r="J28" s="7"/>
      <c r="K28" s="6"/>
      <c r="L28" s="7"/>
      <c r="M28" s="7"/>
    </row>
    <row r="29" spans="1:16" ht="12.75">
      <c r="A29" s="4"/>
      <c r="B29" s="9">
        <f>SUM(B17:B28)</f>
        <v>337922.23000000004</v>
      </c>
      <c r="C29" s="9">
        <f aca="true" t="shared" si="1" ref="C29:M29">SUM(C17:C28)</f>
        <v>51425.189999999995</v>
      </c>
      <c r="D29" s="9">
        <f t="shared" si="1"/>
        <v>128687.90000000001</v>
      </c>
      <c r="E29" s="9">
        <f t="shared" si="1"/>
        <v>4590.22</v>
      </c>
      <c r="F29" s="9">
        <f t="shared" si="1"/>
        <v>130968.3</v>
      </c>
      <c r="G29" s="9">
        <f t="shared" si="1"/>
        <v>277596.18</v>
      </c>
      <c r="H29" s="9">
        <f t="shared" si="1"/>
        <v>467425.41</v>
      </c>
      <c r="I29" s="9">
        <f t="shared" si="1"/>
        <v>58420.96</v>
      </c>
      <c r="J29" s="9">
        <f t="shared" si="1"/>
        <v>1478494.9300000002</v>
      </c>
      <c r="K29" s="9">
        <f t="shared" si="1"/>
        <v>189026.33000000002</v>
      </c>
      <c r="L29" s="9">
        <f t="shared" si="1"/>
        <v>298138.03</v>
      </c>
      <c r="M29" s="9">
        <f t="shared" si="1"/>
        <v>1445.5</v>
      </c>
      <c r="P29" s="2">
        <f>SUM(B29:M29)</f>
        <v>3424141.1800000006</v>
      </c>
    </row>
    <row r="30" spans="1:13" ht="38.25">
      <c r="A30" s="4" t="s">
        <v>1</v>
      </c>
      <c r="B30" s="10" t="s">
        <v>33</v>
      </c>
      <c r="C30" s="5" t="s">
        <v>34</v>
      </c>
      <c r="D30" s="10" t="s">
        <v>35</v>
      </c>
      <c r="E30" s="5" t="s">
        <v>36</v>
      </c>
      <c r="F30" s="5" t="s">
        <v>37</v>
      </c>
      <c r="G30" s="5" t="s">
        <v>38</v>
      </c>
      <c r="H30" s="5" t="s">
        <v>39</v>
      </c>
      <c r="I30" s="5" t="s">
        <v>40</v>
      </c>
      <c r="J30" s="5" t="s">
        <v>41</v>
      </c>
      <c r="K30" s="5" t="s">
        <v>42</v>
      </c>
      <c r="L30" s="5" t="s">
        <v>43</v>
      </c>
      <c r="M30" s="5" t="s">
        <v>44</v>
      </c>
    </row>
    <row r="31" spans="1:13" ht="12.75">
      <c r="A31" s="4">
        <v>2003</v>
      </c>
      <c r="B31" s="5"/>
      <c r="C31" s="5"/>
      <c r="D31" s="5"/>
      <c r="E31" s="5"/>
      <c r="F31" s="5"/>
      <c r="G31" s="5"/>
      <c r="H31" s="5"/>
      <c r="I31" s="5"/>
      <c r="J31" s="10"/>
      <c r="K31" s="5"/>
      <c r="L31" s="5"/>
      <c r="M31" s="5"/>
    </row>
    <row r="32" spans="1:13" ht="12.75">
      <c r="A32" s="4">
        <v>2004</v>
      </c>
      <c r="B32" s="6">
        <v>1652.48</v>
      </c>
      <c r="C32" s="6">
        <v>67213.85</v>
      </c>
      <c r="D32" s="6">
        <v>834.59</v>
      </c>
      <c r="E32" s="6">
        <v>107689.08</v>
      </c>
      <c r="F32" s="6">
        <v>1843.58</v>
      </c>
      <c r="G32" s="6">
        <v>31296.95</v>
      </c>
      <c r="H32" s="6">
        <f>104902.04+3789.68</f>
        <v>108691.71999999999</v>
      </c>
      <c r="I32" s="6"/>
      <c r="J32" s="6"/>
      <c r="K32" s="6"/>
      <c r="L32" s="6"/>
      <c r="M32" s="6"/>
    </row>
    <row r="33" spans="1:13" ht="12.75">
      <c r="A33" s="4">
        <v>2005</v>
      </c>
      <c r="B33" s="6">
        <v>400.61</v>
      </c>
      <c r="C33" s="6">
        <v>57589.43</v>
      </c>
      <c r="D33" s="6"/>
      <c r="E33" s="7"/>
      <c r="F33" s="6"/>
      <c r="G33" s="6">
        <v>31296.95</v>
      </c>
      <c r="H33" s="6">
        <v>15965.69</v>
      </c>
      <c r="I33" s="6">
        <v>17451.03</v>
      </c>
      <c r="J33" s="6">
        <v>56014.36</v>
      </c>
      <c r="K33" s="6">
        <f>154268.68+1877.82</f>
        <v>156146.5</v>
      </c>
      <c r="L33" s="6">
        <v>6714.29</v>
      </c>
      <c r="M33" s="6">
        <v>3942.56</v>
      </c>
    </row>
    <row r="34" spans="1:13" ht="12.75">
      <c r="A34" s="4">
        <v>2006</v>
      </c>
      <c r="B34" s="6"/>
      <c r="C34" s="6">
        <v>17146</v>
      </c>
      <c r="D34" s="6"/>
      <c r="E34" s="7"/>
      <c r="F34" s="6"/>
      <c r="G34" s="6"/>
      <c r="H34" s="6"/>
      <c r="I34" s="6">
        <v>41002</v>
      </c>
      <c r="J34" s="6"/>
      <c r="K34" s="6"/>
      <c r="L34" s="6"/>
      <c r="M34" s="7"/>
    </row>
    <row r="35" spans="1:13" ht="12.75">
      <c r="A35" s="4">
        <v>2007</v>
      </c>
      <c r="B35" s="6"/>
      <c r="C35" s="6"/>
      <c r="D35" s="6"/>
      <c r="E35" s="7"/>
      <c r="F35" s="6"/>
      <c r="G35" s="6"/>
      <c r="H35" s="6"/>
      <c r="I35" s="6">
        <v>25005</v>
      </c>
      <c r="J35" s="6"/>
      <c r="K35" s="6"/>
      <c r="L35" s="6"/>
      <c r="M35" s="7"/>
    </row>
    <row r="36" spans="1:13" ht="12.75">
      <c r="A36" s="4">
        <v>2008</v>
      </c>
      <c r="B36" s="6"/>
      <c r="C36" s="6">
        <v>5283.46</v>
      </c>
      <c r="D36" s="6"/>
      <c r="E36" s="7"/>
      <c r="F36" s="6"/>
      <c r="G36" s="6"/>
      <c r="H36" s="6"/>
      <c r="I36" s="6"/>
      <c r="J36" s="6"/>
      <c r="K36" s="6"/>
      <c r="L36" s="6">
        <v>270</v>
      </c>
      <c r="M36" s="7"/>
    </row>
    <row r="37" spans="1:13" ht="12.75">
      <c r="A37" s="4">
        <v>2009</v>
      </c>
      <c r="B37" s="6"/>
      <c r="C37" s="6">
        <v>13068.95</v>
      </c>
      <c r="D37" s="6"/>
      <c r="E37" s="7"/>
      <c r="F37" s="6"/>
      <c r="G37" s="6"/>
      <c r="H37" s="6"/>
      <c r="I37" s="6"/>
      <c r="J37" s="6"/>
      <c r="K37" s="6"/>
      <c r="L37" s="6"/>
      <c r="M37" s="7"/>
    </row>
    <row r="38" spans="1:13" ht="12.75">
      <c r="A38" s="4">
        <v>2010</v>
      </c>
      <c r="B38" s="6"/>
      <c r="C38" s="6"/>
      <c r="D38" s="6"/>
      <c r="E38" s="7"/>
      <c r="F38" s="6"/>
      <c r="G38" s="6"/>
      <c r="H38" s="6"/>
      <c r="I38" s="6"/>
      <c r="J38" s="6"/>
      <c r="K38" s="6"/>
      <c r="L38" s="6"/>
      <c r="M38" s="7"/>
    </row>
    <row r="39" spans="1:13" ht="12.75">
      <c r="A39" s="4">
        <v>2011</v>
      </c>
      <c r="B39" s="6"/>
      <c r="C39" s="6"/>
      <c r="D39" s="6"/>
      <c r="E39" s="7"/>
      <c r="F39" s="6"/>
      <c r="G39" s="6"/>
      <c r="H39" s="6"/>
      <c r="I39" s="6"/>
      <c r="J39" s="6"/>
      <c r="K39" s="6"/>
      <c r="L39" s="6">
        <v>5441.04</v>
      </c>
      <c r="M39" s="7"/>
    </row>
    <row r="40" spans="1:13" ht="12.75">
      <c r="A40" s="4">
        <v>2012</v>
      </c>
      <c r="B40" s="6"/>
      <c r="C40" s="6"/>
      <c r="D40" s="6"/>
      <c r="E40" s="7"/>
      <c r="F40" s="6">
        <v>7400</v>
      </c>
      <c r="G40" s="6"/>
      <c r="H40" s="6"/>
      <c r="I40" s="6"/>
      <c r="J40" s="6"/>
      <c r="K40" s="6"/>
      <c r="L40" s="6"/>
      <c r="M40" s="7"/>
    </row>
    <row r="41" spans="1:13" ht="12.75">
      <c r="A41" s="4">
        <v>2013</v>
      </c>
      <c r="B41" s="6"/>
      <c r="C41" s="6"/>
      <c r="D41" s="6"/>
      <c r="E41" s="7"/>
      <c r="F41" s="6"/>
      <c r="G41" s="6"/>
      <c r="H41" s="6"/>
      <c r="I41" s="6"/>
      <c r="J41" s="6"/>
      <c r="K41" s="6"/>
      <c r="L41" s="6"/>
      <c r="M41" s="7"/>
    </row>
    <row r="42" spans="1:13" ht="12.75">
      <c r="A42" s="4">
        <v>2014</v>
      </c>
      <c r="B42" s="6"/>
      <c r="C42" s="6"/>
      <c r="D42" s="6"/>
      <c r="E42" s="7"/>
      <c r="F42" s="6"/>
      <c r="G42" s="6"/>
      <c r="H42" s="6"/>
      <c r="I42" s="6"/>
      <c r="J42" s="6"/>
      <c r="K42" s="6"/>
      <c r="L42" s="6"/>
      <c r="M42" s="7"/>
    </row>
    <row r="43" spans="1:16" ht="12.75">
      <c r="A43" s="7"/>
      <c r="B43" s="9">
        <f aca="true" t="shared" si="2" ref="B43:M43">SUM(B31:B42)</f>
        <v>2053.09</v>
      </c>
      <c r="C43" s="9">
        <f t="shared" si="2"/>
        <v>160301.69</v>
      </c>
      <c r="D43" s="9">
        <f t="shared" si="2"/>
        <v>834.59</v>
      </c>
      <c r="E43" s="9">
        <f t="shared" si="2"/>
        <v>107689.08</v>
      </c>
      <c r="F43" s="9">
        <f t="shared" si="2"/>
        <v>9243.58</v>
      </c>
      <c r="G43" s="9">
        <f t="shared" si="2"/>
        <v>62593.9</v>
      </c>
      <c r="H43" s="9">
        <f t="shared" si="2"/>
        <v>124657.40999999999</v>
      </c>
      <c r="I43" s="9">
        <f t="shared" si="2"/>
        <v>83458.03</v>
      </c>
      <c r="J43" s="9">
        <f t="shared" si="2"/>
        <v>56014.36</v>
      </c>
      <c r="K43" s="9">
        <f t="shared" si="2"/>
        <v>156146.5</v>
      </c>
      <c r="L43" s="9">
        <f t="shared" si="2"/>
        <v>12425.33</v>
      </c>
      <c r="M43" s="9">
        <f t="shared" si="2"/>
        <v>3942.56</v>
      </c>
      <c r="P43" s="2">
        <f>SUM(B43:M43)</f>
        <v>779360.12</v>
      </c>
    </row>
    <row r="44" spans="1:13" ht="51">
      <c r="A44" s="4" t="s">
        <v>1</v>
      </c>
      <c r="B44" s="5" t="s">
        <v>46</v>
      </c>
      <c r="C44" s="5" t="s">
        <v>47</v>
      </c>
      <c r="D44" s="10" t="s">
        <v>48</v>
      </c>
      <c r="E44" s="5" t="s">
        <v>49</v>
      </c>
      <c r="F44" s="5" t="s">
        <v>50</v>
      </c>
      <c r="G44" s="5" t="s">
        <v>52</v>
      </c>
      <c r="H44" s="5" t="s">
        <v>53</v>
      </c>
      <c r="I44" s="5" t="s">
        <v>54</v>
      </c>
      <c r="J44" s="5" t="s">
        <v>55</v>
      </c>
      <c r="K44" s="5" t="s">
        <v>56</v>
      </c>
      <c r="L44" s="5" t="s">
        <v>58</v>
      </c>
      <c r="M44" s="5" t="s">
        <v>59</v>
      </c>
    </row>
    <row r="45" spans="1:13" ht="12.75">
      <c r="A45" s="4">
        <v>2003</v>
      </c>
      <c r="B45" s="6"/>
      <c r="C45" s="5"/>
      <c r="D45" s="5"/>
      <c r="E45" s="5"/>
      <c r="F45" s="10"/>
      <c r="G45" s="10"/>
      <c r="H45" s="10"/>
      <c r="I45" s="10"/>
      <c r="J45" s="10"/>
      <c r="K45" s="10"/>
      <c r="L45" s="7"/>
      <c r="M45" s="5"/>
    </row>
    <row r="46" spans="1:13" ht="12.75">
      <c r="A46" s="4">
        <v>2004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</row>
    <row r="47" spans="1:13" ht="12.75">
      <c r="A47" s="4">
        <v>2005</v>
      </c>
      <c r="B47" s="6">
        <v>5410.37</v>
      </c>
      <c r="C47" s="6">
        <v>23529.15</v>
      </c>
      <c r="D47" s="6">
        <v>16691.7</v>
      </c>
      <c r="E47" s="6">
        <v>5233.14</v>
      </c>
      <c r="F47" s="6"/>
      <c r="G47" s="6"/>
      <c r="H47" s="6"/>
      <c r="I47" s="6"/>
      <c r="J47" s="6"/>
      <c r="K47" s="6"/>
      <c r="L47" s="7"/>
      <c r="M47" s="6"/>
    </row>
    <row r="48" spans="1:13" ht="12.75">
      <c r="A48" s="4">
        <v>2006</v>
      </c>
      <c r="B48" s="6">
        <v>3483</v>
      </c>
      <c r="C48" s="6"/>
      <c r="D48" s="6">
        <v>25677</v>
      </c>
      <c r="E48" s="6">
        <v>5094</v>
      </c>
      <c r="F48" s="6">
        <f>3136+981</f>
        <v>4117</v>
      </c>
      <c r="G48" s="6">
        <v>42591</v>
      </c>
      <c r="H48" s="6">
        <v>63195</v>
      </c>
      <c r="I48" s="6">
        <v>102452</v>
      </c>
      <c r="J48" s="6">
        <f>3002+18033</f>
        <v>21035</v>
      </c>
      <c r="K48" s="6">
        <v>1164</v>
      </c>
      <c r="L48" s="6">
        <v>134052</v>
      </c>
      <c r="M48" s="6">
        <v>1923</v>
      </c>
    </row>
    <row r="49" spans="1:13" ht="12.75">
      <c r="A49" s="4">
        <v>2007</v>
      </c>
      <c r="B49" s="6"/>
      <c r="C49" s="6"/>
      <c r="D49" s="6">
        <v>14201</v>
      </c>
      <c r="E49" s="7"/>
      <c r="F49" s="6"/>
      <c r="G49" s="6"/>
      <c r="H49" s="6"/>
      <c r="I49" s="6"/>
      <c r="J49" s="6">
        <v>42263</v>
      </c>
      <c r="K49" s="6">
        <v>10120</v>
      </c>
      <c r="L49" s="6">
        <v>144725</v>
      </c>
      <c r="M49" s="6">
        <v>2504</v>
      </c>
    </row>
    <row r="50" spans="1:13" ht="12.75">
      <c r="A50" s="4">
        <v>2008</v>
      </c>
      <c r="B50" s="6"/>
      <c r="C50" s="6"/>
      <c r="D50" s="6"/>
      <c r="E50" s="7"/>
      <c r="F50" s="6"/>
      <c r="G50" s="6"/>
      <c r="H50" s="6"/>
      <c r="I50" s="6"/>
      <c r="J50" s="6">
        <v>360</v>
      </c>
      <c r="K50" s="6"/>
      <c r="L50" s="6">
        <v>143795.13</v>
      </c>
      <c r="M50" s="6">
        <v>780</v>
      </c>
    </row>
    <row r="51" spans="1:13" ht="12.75">
      <c r="A51" s="4">
        <v>2009</v>
      </c>
      <c r="B51" s="6"/>
      <c r="C51" s="6"/>
      <c r="D51" s="6"/>
      <c r="E51" s="7"/>
      <c r="F51" s="6"/>
      <c r="G51" s="6"/>
      <c r="H51" s="6"/>
      <c r="I51" s="6"/>
      <c r="J51" s="6">
        <v>3436</v>
      </c>
      <c r="K51" s="6">
        <v>4020</v>
      </c>
      <c r="L51" s="6">
        <v>39186.72</v>
      </c>
      <c r="M51" s="6"/>
    </row>
    <row r="52" spans="1:13" ht="12.75">
      <c r="A52" s="4">
        <v>2010</v>
      </c>
      <c r="B52" s="6"/>
      <c r="C52" s="6"/>
      <c r="D52" s="6">
        <v>5940</v>
      </c>
      <c r="E52" s="7"/>
      <c r="F52" s="6"/>
      <c r="G52" s="6"/>
      <c r="H52" s="6"/>
      <c r="I52" s="6"/>
      <c r="J52" s="6"/>
      <c r="K52" s="6"/>
      <c r="L52" s="6"/>
      <c r="M52" s="6"/>
    </row>
    <row r="53" spans="1:13" ht="12.75">
      <c r="A53" s="4">
        <v>2011</v>
      </c>
      <c r="B53" s="6"/>
      <c r="C53" s="6"/>
      <c r="D53" s="6"/>
      <c r="E53" s="7"/>
      <c r="F53" s="6"/>
      <c r="G53" s="6"/>
      <c r="H53" s="6"/>
      <c r="I53" s="6"/>
      <c r="J53" s="6"/>
      <c r="K53" s="6"/>
      <c r="L53" s="6"/>
      <c r="M53" s="6"/>
    </row>
    <row r="54" spans="1:13" ht="12.75">
      <c r="A54" s="4">
        <v>2012</v>
      </c>
      <c r="B54" s="6"/>
      <c r="C54" s="6"/>
      <c r="D54" s="6"/>
      <c r="E54" s="7"/>
      <c r="F54" s="6"/>
      <c r="G54" s="6"/>
      <c r="H54" s="6"/>
      <c r="I54" s="6"/>
      <c r="J54" s="6"/>
      <c r="K54" s="6"/>
      <c r="L54" s="6"/>
      <c r="M54" s="6"/>
    </row>
    <row r="55" spans="1:13" ht="12.75">
      <c r="A55" s="4">
        <v>2013</v>
      </c>
      <c r="B55" s="6"/>
      <c r="C55" s="6"/>
      <c r="D55" s="6"/>
      <c r="E55" s="7"/>
      <c r="F55" s="6"/>
      <c r="G55" s="6"/>
      <c r="H55" s="6"/>
      <c r="I55" s="6"/>
      <c r="J55" s="6"/>
      <c r="K55" s="6"/>
      <c r="L55" s="6"/>
      <c r="M55" s="6"/>
    </row>
    <row r="56" spans="1:13" ht="12.75">
      <c r="A56" s="4">
        <v>2014</v>
      </c>
      <c r="B56" s="6"/>
      <c r="C56" s="6"/>
      <c r="D56" s="6"/>
      <c r="E56" s="7"/>
      <c r="F56" s="6"/>
      <c r="G56" s="6"/>
      <c r="H56" s="6"/>
      <c r="I56" s="6"/>
      <c r="J56" s="6"/>
      <c r="K56" s="6">
        <v>6619</v>
      </c>
      <c r="L56" s="6"/>
      <c r="M56" s="6"/>
    </row>
    <row r="57" spans="1:16" ht="12.75">
      <c r="A57" s="7"/>
      <c r="B57" s="9">
        <f aca="true" t="shared" si="3" ref="B57:M57">SUM(B45:B56)</f>
        <v>8893.369999999999</v>
      </c>
      <c r="C57" s="9">
        <f t="shared" si="3"/>
        <v>23529.15</v>
      </c>
      <c r="D57" s="9">
        <f t="shared" si="3"/>
        <v>62509.7</v>
      </c>
      <c r="E57" s="9">
        <f t="shared" si="3"/>
        <v>10327.14</v>
      </c>
      <c r="F57" s="9">
        <f t="shared" si="3"/>
        <v>4117</v>
      </c>
      <c r="G57" s="9">
        <f t="shared" si="3"/>
        <v>42591</v>
      </c>
      <c r="H57" s="9">
        <f t="shared" si="3"/>
        <v>63195</v>
      </c>
      <c r="I57" s="9">
        <f t="shared" si="3"/>
        <v>102452</v>
      </c>
      <c r="J57" s="9">
        <f t="shared" si="3"/>
        <v>67094</v>
      </c>
      <c r="K57" s="9">
        <f t="shared" si="3"/>
        <v>21923</v>
      </c>
      <c r="L57" s="9">
        <f t="shared" si="3"/>
        <v>461758.85</v>
      </c>
      <c r="M57" s="9">
        <f t="shared" si="3"/>
        <v>5207</v>
      </c>
      <c r="P57" s="2">
        <f>SUM(B57:M57)</f>
        <v>873597.21</v>
      </c>
    </row>
    <row r="58" spans="1:13" ht="51">
      <c r="A58" s="4" t="s">
        <v>1</v>
      </c>
      <c r="B58" s="5" t="s">
        <v>60</v>
      </c>
      <c r="C58" s="5" t="s">
        <v>61</v>
      </c>
      <c r="D58" s="10" t="s">
        <v>62</v>
      </c>
      <c r="E58" s="5" t="s">
        <v>63</v>
      </c>
      <c r="F58" s="5" t="s">
        <v>67</v>
      </c>
      <c r="G58" s="5" t="s">
        <v>68</v>
      </c>
      <c r="H58" s="5" t="s">
        <v>70</v>
      </c>
      <c r="I58" s="5"/>
      <c r="J58" s="5" t="s">
        <v>71</v>
      </c>
      <c r="K58" s="5" t="s">
        <v>76</v>
      </c>
      <c r="L58" s="5" t="s">
        <v>74</v>
      </c>
      <c r="M58" s="5" t="s">
        <v>75</v>
      </c>
    </row>
    <row r="59" spans="1:13" ht="12.75">
      <c r="A59" s="4">
        <v>2003</v>
      </c>
      <c r="B59" s="6"/>
      <c r="C59" s="5"/>
      <c r="D59" s="5"/>
      <c r="E59" s="5"/>
      <c r="F59" s="10"/>
      <c r="G59" s="10"/>
      <c r="H59" s="10"/>
      <c r="I59" s="10"/>
      <c r="J59" s="10"/>
      <c r="K59" s="10"/>
      <c r="L59" s="7"/>
      <c r="M59" s="5"/>
    </row>
    <row r="60" spans="1:13" ht="12.75">
      <c r="A60" s="4">
        <v>2004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6"/>
    </row>
    <row r="61" spans="1:13" ht="12.75">
      <c r="A61" s="4">
        <v>2005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6"/>
    </row>
    <row r="62" spans="1:13" ht="12.75">
      <c r="A62" s="4">
        <v>2006</v>
      </c>
      <c r="B62" s="6">
        <v>11491</v>
      </c>
      <c r="C62" s="6">
        <v>89797</v>
      </c>
      <c r="D62" s="6">
        <v>7987</v>
      </c>
      <c r="E62" s="6">
        <v>72102</v>
      </c>
      <c r="F62" s="6"/>
      <c r="G62" s="6"/>
      <c r="H62" s="6"/>
      <c r="I62" s="6"/>
      <c r="J62" s="6"/>
      <c r="K62" s="6"/>
      <c r="L62" s="6"/>
      <c r="M62" s="6"/>
    </row>
    <row r="63" spans="1:13" ht="12.75">
      <c r="A63" s="4">
        <v>2007</v>
      </c>
      <c r="B63" s="6">
        <v>17720</v>
      </c>
      <c r="C63" s="6">
        <v>130849</v>
      </c>
      <c r="D63" s="6">
        <v>8346</v>
      </c>
      <c r="E63" s="7"/>
      <c r="F63" s="6">
        <v>25972</v>
      </c>
      <c r="G63" s="6">
        <v>137475</v>
      </c>
      <c r="H63" s="6">
        <v>6659</v>
      </c>
      <c r="I63" s="6">
        <v>0</v>
      </c>
      <c r="J63" s="6">
        <v>11240</v>
      </c>
      <c r="K63" s="6">
        <f>17894+62110</f>
        <v>80004</v>
      </c>
      <c r="L63" s="6">
        <v>78322</v>
      </c>
      <c r="M63" s="6">
        <v>18299</v>
      </c>
    </row>
    <row r="64" spans="1:13" ht="12.75">
      <c r="A64" s="4">
        <v>2008</v>
      </c>
      <c r="B64" s="6"/>
      <c r="C64" s="6">
        <v>200271.87</v>
      </c>
      <c r="D64" s="6">
        <v>19154</v>
      </c>
      <c r="E64" s="7"/>
      <c r="F64" s="6"/>
      <c r="G64" s="6">
        <v>468625.13</v>
      </c>
      <c r="H64" s="6"/>
      <c r="I64" s="6"/>
      <c r="J64" s="6"/>
      <c r="K64" s="6">
        <f>3821.15+4536.95+173523.05</f>
        <v>181881.15</v>
      </c>
      <c r="L64" s="6">
        <v>3500</v>
      </c>
      <c r="M64" s="7"/>
    </row>
    <row r="65" spans="1:13" ht="12.75">
      <c r="A65" s="4">
        <v>2009</v>
      </c>
      <c r="B65" s="6"/>
      <c r="C65" s="6">
        <v>65717.64</v>
      </c>
      <c r="D65" s="6"/>
      <c r="E65" s="7"/>
      <c r="F65" s="6"/>
      <c r="G65" s="6">
        <v>5897.6</v>
      </c>
      <c r="H65" s="6"/>
      <c r="I65" s="6"/>
      <c r="J65" s="6"/>
      <c r="K65" s="6"/>
      <c r="L65" s="6"/>
      <c r="M65" s="7"/>
    </row>
    <row r="66" spans="1:13" ht="12.75">
      <c r="A66" s="4">
        <v>2010</v>
      </c>
      <c r="B66" s="6"/>
      <c r="C66" s="6">
        <v>71030.02</v>
      </c>
      <c r="D66" s="6"/>
      <c r="E66" s="7"/>
      <c r="F66" s="6"/>
      <c r="G66" s="6"/>
      <c r="H66" s="6">
        <f>19854.13+39627.25+57529.75+20974.54</f>
        <v>137985.67</v>
      </c>
      <c r="I66" s="6"/>
      <c r="J66" s="6"/>
      <c r="K66" s="6"/>
      <c r="L66" s="6"/>
      <c r="M66" s="7"/>
    </row>
    <row r="67" spans="1:13" ht="12.75">
      <c r="A67" s="4">
        <v>2011</v>
      </c>
      <c r="B67" s="6"/>
      <c r="C67" s="6">
        <v>28699.7</v>
      </c>
      <c r="D67" s="6"/>
      <c r="E67" s="7"/>
      <c r="F67" s="6"/>
      <c r="G67" s="6"/>
      <c r="H67" s="6">
        <v>58075.29</v>
      </c>
      <c r="I67" s="6"/>
      <c r="J67" s="6"/>
      <c r="K67" s="6">
        <f>10528.8+163046.2</f>
        <v>173575</v>
      </c>
      <c r="L67" s="6"/>
      <c r="M67" s="7"/>
    </row>
    <row r="68" spans="1:13" ht="12.75">
      <c r="A68" s="4">
        <v>2012</v>
      </c>
      <c r="B68" s="6"/>
      <c r="C68" s="6"/>
      <c r="D68" s="6"/>
      <c r="E68" s="7"/>
      <c r="F68" s="6"/>
      <c r="G68" s="6"/>
      <c r="H68" s="6"/>
      <c r="I68" s="6"/>
      <c r="J68" s="6"/>
      <c r="K68" s="6">
        <f>16853.77+695057.16</f>
        <v>711910.93</v>
      </c>
      <c r="L68" s="6"/>
      <c r="M68" s="7"/>
    </row>
    <row r="69" spans="1:13" ht="12.75">
      <c r="A69" s="4">
        <v>2013</v>
      </c>
      <c r="B69" s="6"/>
      <c r="C69" s="6"/>
      <c r="D69" s="6"/>
      <c r="E69" s="7"/>
      <c r="F69" s="6"/>
      <c r="G69" s="6"/>
      <c r="H69" s="6">
        <v>1170</v>
      </c>
      <c r="I69" s="6"/>
      <c r="J69" s="6"/>
      <c r="K69" s="6">
        <v>5980</v>
      </c>
      <c r="L69" s="6"/>
      <c r="M69" s="7"/>
    </row>
    <row r="70" spans="1:13" ht="12.75">
      <c r="A70" s="4">
        <v>2014</v>
      </c>
      <c r="B70" s="6"/>
      <c r="C70" s="6"/>
      <c r="D70" s="6"/>
      <c r="E70" s="7"/>
      <c r="F70" s="6"/>
      <c r="G70" s="6"/>
      <c r="H70" s="6"/>
      <c r="I70" s="6"/>
      <c r="J70" s="6"/>
      <c r="K70" s="6"/>
      <c r="L70" s="6"/>
      <c r="M70" s="7"/>
    </row>
    <row r="71" spans="1:16" ht="12.75">
      <c r="A71" s="7"/>
      <c r="B71" s="9">
        <f aca="true" t="shared" si="4" ref="B71:M71">SUM(B59:B70)</f>
        <v>29211</v>
      </c>
      <c r="C71" s="9">
        <f t="shared" si="4"/>
        <v>586365.23</v>
      </c>
      <c r="D71" s="9">
        <f t="shared" si="4"/>
        <v>35487</v>
      </c>
      <c r="E71" s="9">
        <f t="shared" si="4"/>
        <v>72102</v>
      </c>
      <c r="F71" s="9">
        <f t="shared" si="4"/>
        <v>25972</v>
      </c>
      <c r="G71" s="9">
        <f t="shared" si="4"/>
        <v>611997.73</v>
      </c>
      <c r="H71" s="9">
        <f t="shared" si="4"/>
        <v>203889.96000000002</v>
      </c>
      <c r="I71" s="9">
        <f t="shared" si="4"/>
        <v>0</v>
      </c>
      <c r="J71" s="9">
        <f t="shared" si="4"/>
        <v>11240</v>
      </c>
      <c r="K71" s="9">
        <f t="shared" si="4"/>
        <v>1153351.08</v>
      </c>
      <c r="L71" s="9">
        <f t="shared" si="4"/>
        <v>81822</v>
      </c>
      <c r="M71" s="9">
        <f t="shared" si="4"/>
        <v>18299</v>
      </c>
      <c r="P71" s="2">
        <f>SUM(B71:M71)</f>
        <v>2829737</v>
      </c>
    </row>
    <row r="72" spans="1:18" ht="51">
      <c r="A72" s="4" t="s">
        <v>1</v>
      </c>
      <c r="B72" s="5" t="s">
        <v>78</v>
      </c>
      <c r="C72" s="5" t="s">
        <v>79</v>
      </c>
      <c r="D72" s="10" t="s">
        <v>80</v>
      </c>
      <c r="E72" s="5" t="s">
        <v>82</v>
      </c>
      <c r="F72" s="5" t="s">
        <v>83</v>
      </c>
      <c r="G72" s="5" t="s">
        <v>84</v>
      </c>
      <c r="H72" s="5" t="s">
        <v>85</v>
      </c>
      <c r="I72" s="5" t="s">
        <v>128</v>
      </c>
      <c r="J72" s="5" t="s">
        <v>91</v>
      </c>
      <c r="K72" s="5" t="s">
        <v>94</v>
      </c>
      <c r="L72" s="5" t="s">
        <v>95</v>
      </c>
      <c r="M72" s="5" t="s">
        <v>96</v>
      </c>
      <c r="R72" s="2">
        <f>P15+P29+P43+P57+P71+P85+P100+P114</f>
        <v>22196878.440000005</v>
      </c>
    </row>
    <row r="73" spans="1:13" ht="12.75">
      <c r="A73" s="4">
        <v>2003</v>
      </c>
      <c r="B73" s="6"/>
      <c r="C73" s="11"/>
      <c r="D73" s="5"/>
      <c r="E73" s="10"/>
      <c r="F73" s="10"/>
      <c r="G73" s="10"/>
      <c r="H73" s="10"/>
      <c r="I73" s="10"/>
      <c r="J73" s="10"/>
      <c r="K73" s="10"/>
      <c r="L73" s="6"/>
      <c r="M73" s="10"/>
    </row>
    <row r="74" spans="1:13" ht="12.75">
      <c r="A74" s="4">
        <v>2004</v>
      </c>
      <c r="B74" s="6"/>
      <c r="C74" s="12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12.75">
      <c r="A75" s="4">
        <v>2005</v>
      </c>
      <c r="B75" s="6"/>
      <c r="C75" s="12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12.75">
      <c r="A76" s="4">
        <v>2006</v>
      </c>
      <c r="B76" s="6"/>
      <c r="C76" s="12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12.75">
      <c r="A77" s="4">
        <v>2007</v>
      </c>
      <c r="B77" s="6">
        <v>8220</v>
      </c>
      <c r="C77" s="11">
        <v>29208</v>
      </c>
      <c r="D77" s="6">
        <v>94883</v>
      </c>
      <c r="E77" s="6"/>
      <c r="F77" s="6"/>
      <c r="G77" s="6"/>
      <c r="H77" s="6"/>
      <c r="I77" s="6"/>
      <c r="J77" s="6"/>
      <c r="K77" s="6"/>
      <c r="L77" s="6"/>
      <c r="M77" s="6"/>
    </row>
    <row r="78" spans="1:13" ht="12.75">
      <c r="A78" s="4">
        <v>2008</v>
      </c>
      <c r="B78" s="6"/>
      <c r="C78" s="12">
        <v>14364</v>
      </c>
      <c r="D78" s="6">
        <v>63030.14</v>
      </c>
      <c r="E78" s="6">
        <v>591</v>
      </c>
      <c r="F78" s="6">
        <v>17531.81</v>
      </c>
      <c r="G78" s="6">
        <v>96</v>
      </c>
      <c r="H78" s="6">
        <v>111314.7</v>
      </c>
      <c r="I78" s="6"/>
      <c r="J78" s="6"/>
      <c r="K78" s="6"/>
      <c r="L78" s="6"/>
      <c r="M78" s="6"/>
    </row>
    <row r="79" spans="1:13" ht="12.75">
      <c r="A79" s="4">
        <v>2009</v>
      </c>
      <c r="B79" s="6">
        <v>20750.4</v>
      </c>
      <c r="C79" s="12">
        <v>35389.8</v>
      </c>
      <c r="D79" s="6">
        <v>59565.39</v>
      </c>
      <c r="E79" s="6">
        <v>13370.26</v>
      </c>
      <c r="F79" s="6">
        <v>277.23</v>
      </c>
      <c r="G79" s="6"/>
      <c r="H79" s="6">
        <v>2295.02</v>
      </c>
      <c r="I79" s="6">
        <v>111417.07</v>
      </c>
      <c r="J79" s="6">
        <v>2280</v>
      </c>
      <c r="K79" s="6">
        <v>31433.07</v>
      </c>
      <c r="L79" s="6"/>
      <c r="M79" s="6"/>
    </row>
    <row r="80" spans="1:13" ht="12.75">
      <c r="A80" s="4">
        <v>2010</v>
      </c>
      <c r="B80" s="6">
        <v>103173.49</v>
      </c>
      <c r="C80" s="12">
        <v>92477.8</v>
      </c>
      <c r="D80" s="6">
        <v>54261.53</v>
      </c>
      <c r="E80" s="6">
        <f>178432.2+18373.66</f>
        <v>196805.86000000002</v>
      </c>
      <c r="F80" s="6"/>
      <c r="G80" s="6"/>
      <c r="H80" s="6">
        <v>200068.51</v>
      </c>
      <c r="I80" s="6"/>
      <c r="J80" s="6"/>
      <c r="K80" s="6"/>
      <c r="L80" s="6">
        <v>262958.5</v>
      </c>
      <c r="M80" s="6">
        <v>80938.74</v>
      </c>
    </row>
    <row r="81" spans="1:13" ht="12.75">
      <c r="A81" s="4">
        <v>2011</v>
      </c>
      <c r="B81" s="6">
        <f>36219.91+2364</f>
        <v>38583.91</v>
      </c>
      <c r="C81" s="12">
        <v>23760</v>
      </c>
      <c r="D81" s="6">
        <v>381065.03</v>
      </c>
      <c r="E81" s="6"/>
      <c r="F81" s="6"/>
      <c r="G81" s="6"/>
      <c r="H81" s="6">
        <v>26090.88</v>
      </c>
      <c r="I81" s="6"/>
      <c r="J81" s="6"/>
      <c r="K81" s="6">
        <v>29407.43</v>
      </c>
      <c r="L81" s="6">
        <v>690281.19</v>
      </c>
      <c r="M81" s="6"/>
    </row>
    <row r="82" spans="1:13" ht="12.75">
      <c r="A82" s="4">
        <v>2012</v>
      </c>
      <c r="B82" s="6">
        <f>10048.32+1400665.78</f>
        <v>1410714.1</v>
      </c>
      <c r="C82" s="12">
        <v>38569.92</v>
      </c>
      <c r="D82" s="6">
        <v>79733.43</v>
      </c>
      <c r="E82" s="6"/>
      <c r="F82" s="6"/>
      <c r="G82" s="6"/>
      <c r="H82" s="6">
        <v>1391.59</v>
      </c>
      <c r="I82" s="6"/>
      <c r="J82" s="6"/>
      <c r="K82" s="6"/>
      <c r="L82" s="6"/>
      <c r="M82" s="6"/>
    </row>
    <row r="83" spans="1:13" ht="12.75">
      <c r="A83" s="4">
        <v>2013</v>
      </c>
      <c r="B83" s="6">
        <v>1746363.73</v>
      </c>
      <c r="C83" s="12">
        <v>12101.52</v>
      </c>
      <c r="D83" s="6">
        <v>53608.14</v>
      </c>
      <c r="E83" s="6"/>
      <c r="F83" s="6"/>
      <c r="G83" s="6"/>
      <c r="H83" s="6">
        <v>195378.55</v>
      </c>
      <c r="I83" s="6"/>
      <c r="J83" s="6"/>
      <c r="K83" s="6"/>
      <c r="L83" s="6"/>
      <c r="M83" s="6"/>
    </row>
    <row r="84" spans="1:13" ht="12.75">
      <c r="A84" s="4">
        <v>2014</v>
      </c>
      <c r="B84" s="6"/>
      <c r="C84" s="12"/>
      <c r="D84" s="6">
        <v>73397.76</v>
      </c>
      <c r="E84" s="6"/>
      <c r="F84" s="6"/>
      <c r="G84" s="6"/>
      <c r="H84" s="6">
        <v>39915.99</v>
      </c>
      <c r="I84" s="6"/>
      <c r="J84" s="6"/>
      <c r="K84" s="6"/>
      <c r="L84" s="6"/>
      <c r="M84" s="6"/>
    </row>
    <row r="85" spans="1:16" ht="12.75">
      <c r="A85" s="4"/>
      <c r="B85" s="9">
        <f aca="true" t="shared" si="5" ref="B85:M85">SUM(B73:B84)</f>
        <v>3327805.63</v>
      </c>
      <c r="C85" s="9">
        <f t="shared" si="5"/>
        <v>245871.04</v>
      </c>
      <c r="D85" s="9">
        <f t="shared" si="5"/>
        <v>859544.42</v>
      </c>
      <c r="E85" s="9">
        <f t="shared" si="5"/>
        <v>210767.12000000002</v>
      </c>
      <c r="F85" s="9">
        <f t="shared" si="5"/>
        <v>17809.04</v>
      </c>
      <c r="G85" s="9">
        <f t="shared" si="5"/>
        <v>96</v>
      </c>
      <c r="H85" s="9">
        <f t="shared" si="5"/>
        <v>576455.24</v>
      </c>
      <c r="I85" s="9">
        <f t="shared" si="5"/>
        <v>111417.07</v>
      </c>
      <c r="J85" s="9">
        <f t="shared" si="5"/>
        <v>2280</v>
      </c>
      <c r="K85" s="9">
        <f t="shared" si="5"/>
        <v>60840.5</v>
      </c>
      <c r="L85" s="9">
        <f t="shared" si="5"/>
        <v>953239.69</v>
      </c>
      <c r="M85" s="9">
        <f t="shared" si="5"/>
        <v>80938.74</v>
      </c>
      <c r="P85" s="2">
        <f>SUM(B85:M85)</f>
        <v>6447064.49</v>
      </c>
    </row>
    <row r="86" spans="1:13" ht="51">
      <c r="A86" s="4" t="s">
        <v>1</v>
      </c>
      <c r="B86" s="5" t="s">
        <v>97</v>
      </c>
      <c r="C86" s="5" t="s">
        <v>98</v>
      </c>
      <c r="D86" s="10" t="s">
        <v>119</v>
      </c>
      <c r="E86" s="5" t="s">
        <v>100</v>
      </c>
      <c r="F86" s="5" t="s">
        <v>104</v>
      </c>
      <c r="G86" s="5" t="s">
        <v>106</v>
      </c>
      <c r="H86" s="5" t="s">
        <v>109</v>
      </c>
      <c r="I86" s="5" t="s">
        <v>113</v>
      </c>
      <c r="J86" s="5" t="s">
        <v>114</v>
      </c>
      <c r="K86" s="5" t="s">
        <v>115</v>
      </c>
      <c r="L86" s="5" t="s">
        <v>118</v>
      </c>
      <c r="M86" s="5" t="s">
        <v>121</v>
      </c>
    </row>
    <row r="87" spans="1:13" ht="12.75">
      <c r="A87" s="4">
        <v>2003</v>
      </c>
      <c r="B87" s="6"/>
      <c r="C87" s="11"/>
      <c r="D87" s="5"/>
      <c r="E87" s="10"/>
      <c r="F87" s="10"/>
      <c r="G87" s="10"/>
      <c r="H87" s="10"/>
      <c r="I87" s="10"/>
      <c r="J87" s="10"/>
      <c r="K87" s="10"/>
      <c r="L87" s="6"/>
      <c r="M87" s="10"/>
    </row>
    <row r="88" spans="1:13" ht="12.75">
      <c r="A88" s="4">
        <v>2004</v>
      </c>
      <c r="B88" s="6"/>
      <c r="C88" s="12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12.75">
      <c r="A89" s="4">
        <v>2005</v>
      </c>
      <c r="B89" s="6"/>
      <c r="C89" s="12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12.75">
      <c r="A90" s="4">
        <v>2006</v>
      </c>
      <c r="B90" s="6"/>
      <c r="C90" s="12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2.75">
      <c r="A91" s="4">
        <v>2007</v>
      </c>
      <c r="B91" s="6">
        <v>12620</v>
      </c>
      <c r="C91" s="11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12.75">
      <c r="A92" s="4">
        <v>2008</v>
      </c>
      <c r="B92" s="6"/>
      <c r="C92" s="12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12.75">
      <c r="A93" s="4">
        <v>2009</v>
      </c>
      <c r="B93" s="6"/>
      <c r="C93" s="12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12.75">
      <c r="A94" s="4">
        <v>2010</v>
      </c>
      <c r="B94" s="6">
        <v>110049.98</v>
      </c>
      <c r="C94" s="12">
        <v>3800</v>
      </c>
      <c r="D94" s="6">
        <v>12650.81</v>
      </c>
      <c r="E94" s="6"/>
      <c r="F94" s="6"/>
      <c r="G94" s="6"/>
      <c r="H94" s="6"/>
      <c r="I94" s="6"/>
      <c r="J94" s="6"/>
      <c r="K94" s="6"/>
      <c r="L94" s="6"/>
      <c r="M94" s="6"/>
    </row>
    <row r="95" spans="1:13" ht="12.75">
      <c r="A95" s="4">
        <v>2011</v>
      </c>
      <c r="B95" s="6">
        <v>110756.47</v>
      </c>
      <c r="C95" s="12">
        <v>5324</v>
      </c>
      <c r="D95" s="6">
        <v>133413.5</v>
      </c>
      <c r="E95" s="6">
        <v>199598.11</v>
      </c>
      <c r="F95" s="6">
        <f>26528.2+2424</f>
        <v>28952.2</v>
      </c>
      <c r="G95" s="6">
        <v>5040</v>
      </c>
      <c r="H95" s="6"/>
      <c r="I95" s="6"/>
      <c r="J95" s="6"/>
      <c r="K95" s="6"/>
      <c r="L95" s="6"/>
      <c r="M95" s="6"/>
    </row>
    <row r="96" spans="1:13" ht="12.75">
      <c r="A96" s="4">
        <v>2012</v>
      </c>
      <c r="B96" s="6">
        <v>217805.95</v>
      </c>
      <c r="C96" s="12">
        <v>15827</v>
      </c>
      <c r="D96" s="6">
        <v>12354.17</v>
      </c>
      <c r="E96" s="6">
        <v>203443.75</v>
      </c>
      <c r="F96" s="6"/>
      <c r="G96" s="6"/>
      <c r="H96" s="6">
        <v>198086.63</v>
      </c>
      <c r="I96" s="6">
        <v>55144.94</v>
      </c>
      <c r="J96" s="6">
        <v>19190.25</v>
      </c>
      <c r="K96" s="6">
        <v>3006.66</v>
      </c>
      <c r="L96" s="6"/>
      <c r="M96" s="6"/>
    </row>
    <row r="97" spans="1:13" ht="12.75">
      <c r="A97" s="4">
        <v>2013</v>
      </c>
      <c r="B97" s="6">
        <v>43315</v>
      </c>
      <c r="C97" s="12">
        <v>275925.28</v>
      </c>
      <c r="D97" s="6">
        <f>1274333.84-145496-120358.87-141313.82</f>
        <v>867165.1500000001</v>
      </c>
      <c r="E97" s="6"/>
      <c r="F97" s="6"/>
      <c r="G97" s="6"/>
      <c r="H97" s="6">
        <v>147155.68</v>
      </c>
      <c r="I97" s="6">
        <v>2588.37</v>
      </c>
      <c r="J97" s="6">
        <v>8612.28</v>
      </c>
      <c r="K97" s="6"/>
      <c r="L97" s="6"/>
      <c r="M97" s="6"/>
    </row>
    <row r="98" spans="1:13" ht="12.75">
      <c r="A98" s="4">
        <v>2014</v>
      </c>
      <c r="B98" s="6">
        <v>122090.74</v>
      </c>
      <c r="C98" s="12">
        <v>143499.07</v>
      </c>
      <c r="D98" s="6">
        <v>171.57</v>
      </c>
      <c r="E98" s="6"/>
      <c r="F98" s="6"/>
      <c r="G98" s="6"/>
      <c r="H98" s="6">
        <v>70304.81</v>
      </c>
      <c r="I98" s="6">
        <v>136147.33</v>
      </c>
      <c r="J98" s="6">
        <v>48423.89</v>
      </c>
      <c r="K98" s="6"/>
      <c r="L98" s="6">
        <v>81985.66</v>
      </c>
      <c r="M98" s="6">
        <v>76959.06</v>
      </c>
    </row>
    <row r="99" spans="1:13" ht="12.75">
      <c r="A99" s="4"/>
      <c r="B99" s="6"/>
      <c r="C99" s="12"/>
      <c r="D99" s="6">
        <f>SUM(D87:D98)</f>
        <v>1025755.2000000001</v>
      </c>
      <c r="E99" s="6"/>
      <c r="F99" s="6"/>
      <c r="G99" s="6"/>
      <c r="H99" s="6"/>
      <c r="I99" s="6"/>
      <c r="J99" s="6"/>
      <c r="K99" s="6"/>
      <c r="L99" s="6"/>
      <c r="M99" s="6"/>
    </row>
    <row r="100" spans="1:16" ht="12.75">
      <c r="A100" s="4"/>
      <c r="B100" s="9">
        <f>SUM(B88:B99)</f>
        <v>616638.14</v>
      </c>
      <c r="C100" s="9">
        <f>SUM(C88:C99)</f>
        <v>444375.35000000003</v>
      </c>
      <c r="D100" s="9">
        <f>SUM(D88:D99)</f>
        <v>2051510.4000000001</v>
      </c>
      <c r="E100" s="9">
        <f aca="true" t="shared" si="6" ref="E100:M100">SUM(E88:E99)</f>
        <v>403041.86</v>
      </c>
      <c r="F100" s="9">
        <f t="shared" si="6"/>
        <v>28952.2</v>
      </c>
      <c r="G100" s="9">
        <f t="shared" si="6"/>
        <v>5040</v>
      </c>
      <c r="H100" s="9">
        <f t="shared" si="6"/>
        <v>415547.12</v>
      </c>
      <c r="I100" s="9">
        <f t="shared" si="6"/>
        <v>193880.63999999998</v>
      </c>
      <c r="J100" s="9">
        <f t="shared" si="6"/>
        <v>76226.42</v>
      </c>
      <c r="K100" s="9">
        <f t="shared" si="6"/>
        <v>3006.66</v>
      </c>
      <c r="L100" s="9">
        <f t="shared" si="6"/>
        <v>81985.66</v>
      </c>
      <c r="M100" s="9">
        <f t="shared" si="6"/>
        <v>76959.06</v>
      </c>
      <c r="P100" s="2">
        <f>SUM(B100:M100)</f>
        <v>4397163.510000001</v>
      </c>
    </row>
    <row r="101" spans="1:13" ht="51">
      <c r="A101" s="4" t="s">
        <v>1</v>
      </c>
      <c r="B101" s="5" t="s">
        <v>122</v>
      </c>
      <c r="C101" s="5" t="s">
        <v>123</v>
      </c>
      <c r="D101" s="10" t="s">
        <v>124</v>
      </c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4">
        <v>2003</v>
      </c>
      <c r="B102" s="6"/>
      <c r="C102" s="11"/>
      <c r="D102" s="5"/>
      <c r="E102" s="10"/>
      <c r="F102" s="10"/>
      <c r="G102" s="10"/>
      <c r="H102" s="10"/>
      <c r="I102" s="10"/>
      <c r="J102" s="10"/>
      <c r="K102" s="10"/>
      <c r="L102" s="6"/>
      <c r="M102" s="10"/>
    </row>
    <row r="103" spans="1:13" ht="12.75">
      <c r="A103" s="4">
        <v>2004</v>
      </c>
      <c r="B103" s="6"/>
      <c r="C103" s="12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12.75">
      <c r="A104" s="4">
        <v>2005</v>
      </c>
      <c r="B104" s="6"/>
      <c r="C104" s="12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12.75">
      <c r="A105" s="4">
        <v>2006</v>
      </c>
      <c r="B105" s="6"/>
      <c r="C105" s="12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12.75">
      <c r="A106" s="4">
        <v>2007</v>
      </c>
      <c r="B106" s="6"/>
      <c r="C106" s="11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12.75">
      <c r="A107" s="4">
        <v>2008</v>
      </c>
      <c r="B107" s="6"/>
      <c r="C107" s="12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12.75">
      <c r="A108" s="4">
        <v>2009</v>
      </c>
      <c r="B108" s="6"/>
      <c r="C108" s="12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12.75">
      <c r="A109" s="4">
        <v>2010</v>
      </c>
      <c r="B109" s="6"/>
      <c r="C109" s="12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12.75">
      <c r="A110" s="4">
        <v>2011</v>
      </c>
      <c r="B110" s="6"/>
      <c r="C110" s="12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12.75">
      <c r="A111" s="4">
        <v>2012</v>
      </c>
      <c r="B111" s="6"/>
      <c r="C111" s="12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12.75">
      <c r="A112" s="4">
        <v>2013</v>
      </c>
      <c r="B112" s="6"/>
      <c r="C112" s="12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12.75">
      <c r="A113" s="4">
        <v>2014</v>
      </c>
      <c r="B113" s="6">
        <v>14916.85</v>
      </c>
      <c r="C113" s="12">
        <v>17083.59</v>
      </c>
      <c r="D113" s="6">
        <v>47318.18</v>
      </c>
      <c r="E113" s="6"/>
      <c r="F113" s="6"/>
      <c r="G113" s="6"/>
      <c r="H113" s="6"/>
      <c r="I113" s="6"/>
      <c r="J113" s="6"/>
      <c r="K113" s="6"/>
      <c r="L113" s="6"/>
      <c r="M113" s="6"/>
    </row>
    <row r="114" spans="1:16" ht="12.75">
      <c r="A114" s="4"/>
      <c r="B114" s="9">
        <f>SUM(B102:B113)</f>
        <v>14916.85</v>
      </c>
      <c r="C114" s="9">
        <f>SUM(C102:C113)</f>
        <v>17083.59</v>
      </c>
      <c r="D114" s="9">
        <f>SUM(D102:D113)</f>
        <v>47318.18</v>
      </c>
      <c r="E114" s="9">
        <f>P15+P29+P43+P57+P71+P85+P100+P114</f>
        <v>22196878.440000005</v>
      </c>
      <c r="F114" s="7"/>
      <c r="G114" s="7"/>
      <c r="H114" s="7"/>
      <c r="I114" s="6"/>
      <c r="J114" s="7"/>
      <c r="K114" s="7"/>
      <c r="L114" s="7"/>
      <c r="M114" s="6"/>
      <c r="P114" s="2">
        <f>SUM(B114:D114)</f>
        <v>79318.62</v>
      </c>
    </row>
    <row r="115" spans="1:13" ht="51">
      <c r="A115" s="4" t="s">
        <v>14</v>
      </c>
      <c r="B115" s="5" t="s">
        <v>10</v>
      </c>
      <c r="C115" s="5" t="s">
        <v>45</v>
      </c>
      <c r="D115" s="5" t="s">
        <v>51</v>
      </c>
      <c r="E115" s="5" t="s">
        <v>57</v>
      </c>
      <c r="F115" s="5" t="s">
        <v>64</v>
      </c>
      <c r="G115" s="5" t="s">
        <v>65</v>
      </c>
      <c r="H115" s="5" t="s">
        <v>66</v>
      </c>
      <c r="I115" s="5" t="s">
        <v>73</v>
      </c>
      <c r="J115" s="5" t="s">
        <v>81</v>
      </c>
      <c r="K115" s="5" t="s">
        <v>88</v>
      </c>
      <c r="L115" s="5" t="s">
        <v>105</v>
      </c>
      <c r="M115" s="5" t="s">
        <v>108</v>
      </c>
    </row>
    <row r="116" spans="1:13" ht="12.75">
      <c r="A116" s="4">
        <v>2003</v>
      </c>
      <c r="B116" s="6">
        <v>350.53</v>
      </c>
      <c r="C116" s="6"/>
      <c r="D116" s="6"/>
      <c r="E116" s="6"/>
      <c r="F116" s="7"/>
      <c r="G116" s="7"/>
      <c r="H116" s="6"/>
      <c r="I116" s="7"/>
      <c r="J116" s="6"/>
      <c r="K116" s="6"/>
      <c r="L116" s="6"/>
      <c r="M116" s="6"/>
    </row>
    <row r="117" spans="1:13" ht="12.75">
      <c r="A117" s="4">
        <v>2004</v>
      </c>
      <c r="B117" s="7"/>
      <c r="C117" s="6"/>
      <c r="D117" s="6"/>
      <c r="E117" s="6"/>
      <c r="F117" s="7"/>
      <c r="G117" s="7"/>
      <c r="H117" s="6"/>
      <c r="I117" s="6"/>
      <c r="J117" s="6"/>
      <c r="K117" s="6"/>
      <c r="L117" s="6"/>
      <c r="M117" s="6"/>
    </row>
    <row r="118" spans="1:13" ht="12.75">
      <c r="A118" s="4">
        <v>2005</v>
      </c>
      <c r="B118" s="7"/>
      <c r="C118" s="6">
        <v>4989.13</v>
      </c>
      <c r="D118" s="6"/>
      <c r="E118" s="6"/>
      <c r="F118" s="7"/>
      <c r="G118" s="7"/>
      <c r="H118" s="6"/>
      <c r="I118" s="6"/>
      <c r="J118" s="6"/>
      <c r="K118" s="6"/>
      <c r="L118" s="6"/>
      <c r="M118" s="6"/>
    </row>
    <row r="119" spans="1:13" ht="12.75">
      <c r="A119" s="4">
        <v>2006</v>
      </c>
      <c r="B119" s="7"/>
      <c r="C119" s="6"/>
      <c r="D119" s="6">
        <v>154935</v>
      </c>
      <c r="E119" s="6">
        <v>20267</v>
      </c>
      <c r="F119" s="6">
        <v>23774</v>
      </c>
      <c r="G119" s="6">
        <v>6204</v>
      </c>
      <c r="H119" s="6"/>
      <c r="I119" s="6"/>
      <c r="J119" s="6"/>
      <c r="K119" s="6"/>
      <c r="L119" s="6"/>
      <c r="M119" s="6"/>
    </row>
    <row r="120" spans="1:13" ht="12.75">
      <c r="A120" s="4">
        <v>2007</v>
      </c>
      <c r="B120" s="7"/>
      <c r="C120" s="6"/>
      <c r="D120" s="6">
        <f>136399+24911</f>
        <v>161310</v>
      </c>
      <c r="E120" s="6">
        <f>5226+70560.71+54483.38+3502+21437.92+83270.33</f>
        <v>238480.34000000003</v>
      </c>
      <c r="F120" s="7"/>
      <c r="G120" s="6"/>
      <c r="H120" s="6">
        <v>285898</v>
      </c>
      <c r="I120" s="6">
        <f>22164+22164</f>
        <v>44328</v>
      </c>
      <c r="J120" s="6"/>
      <c r="K120" s="6"/>
      <c r="L120" s="6"/>
      <c r="M120" s="6"/>
    </row>
    <row r="121" spans="1:13" ht="12.75">
      <c r="A121" s="4">
        <v>2008</v>
      </c>
      <c r="B121" s="7"/>
      <c r="C121" s="6"/>
      <c r="D121" s="6"/>
      <c r="E121" s="6"/>
      <c r="F121" s="7"/>
      <c r="G121" s="6">
        <v>495</v>
      </c>
      <c r="H121" s="6">
        <v>377145.14</v>
      </c>
      <c r="I121" s="6"/>
      <c r="J121" s="6">
        <v>12649.79</v>
      </c>
      <c r="K121" s="6">
        <v>186</v>
      </c>
      <c r="L121" s="6"/>
      <c r="M121" s="6"/>
    </row>
    <row r="122" spans="1:13" ht="12.75">
      <c r="A122" s="4">
        <v>2009</v>
      </c>
      <c r="B122" s="7"/>
      <c r="C122" s="6"/>
      <c r="D122" s="6"/>
      <c r="E122" s="6"/>
      <c r="F122" s="7"/>
      <c r="G122" s="6"/>
      <c r="H122" s="6"/>
      <c r="I122" s="6"/>
      <c r="J122" s="6"/>
      <c r="K122" s="6">
        <v>3001.03</v>
      </c>
      <c r="L122" s="6"/>
      <c r="M122" s="6"/>
    </row>
    <row r="123" spans="1:13" ht="12.75">
      <c r="A123" s="4">
        <v>2010</v>
      </c>
      <c r="B123" s="7"/>
      <c r="C123" s="6"/>
      <c r="D123" s="6"/>
      <c r="E123" s="6"/>
      <c r="F123" s="7"/>
      <c r="G123" s="6"/>
      <c r="H123" s="6"/>
      <c r="I123" s="6"/>
      <c r="J123" s="6"/>
      <c r="K123" s="6">
        <v>1698.15</v>
      </c>
      <c r="L123" s="6"/>
      <c r="M123" s="6"/>
    </row>
    <row r="124" spans="1:13" ht="12.75">
      <c r="A124" s="4">
        <v>2011</v>
      </c>
      <c r="B124" s="7"/>
      <c r="C124" s="6"/>
      <c r="D124" s="6"/>
      <c r="E124" s="6"/>
      <c r="F124" s="7"/>
      <c r="G124" s="6"/>
      <c r="H124" s="6"/>
      <c r="I124" s="6"/>
      <c r="J124" s="6"/>
      <c r="K124" s="6"/>
      <c r="L124" s="6">
        <v>4925</v>
      </c>
      <c r="M124" s="6">
        <v>1151.46</v>
      </c>
    </row>
    <row r="125" spans="1:13" ht="12.75">
      <c r="A125" s="4">
        <v>2012</v>
      </c>
      <c r="B125" s="7"/>
      <c r="C125" s="6"/>
      <c r="D125" s="6"/>
      <c r="E125" s="6"/>
      <c r="F125" s="7"/>
      <c r="G125" s="6"/>
      <c r="H125" s="6"/>
      <c r="I125" s="6"/>
      <c r="J125" s="6"/>
      <c r="K125" s="6"/>
      <c r="L125" s="6"/>
      <c r="M125" s="6">
        <v>1200</v>
      </c>
    </row>
    <row r="126" spans="1:13" ht="12.75">
      <c r="A126" s="4">
        <v>2013</v>
      </c>
      <c r="B126" s="7"/>
      <c r="C126" s="6"/>
      <c r="D126" s="6"/>
      <c r="E126" s="6"/>
      <c r="F126" s="7"/>
      <c r="G126" s="6"/>
      <c r="H126" s="6"/>
      <c r="I126" s="6"/>
      <c r="J126" s="6"/>
      <c r="K126" s="6"/>
      <c r="L126" s="6"/>
      <c r="M126" s="6">
        <v>136.64</v>
      </c>
    </row>
    <row r="127" spans="1:13" ht="12.75">
      <c r="A127" s="4">
        <v>2014</v>
      </c>
      <c r="B127" s="7"/>
      <c r="C127" s="6"/>
      <c r="D127" s="6"/>
      <c r="E127" s="6"/>
      <c r="F127" s="7"/>
      <c r="G127" s="6"/>
      <c r="H127" s="6"/>
      <c r="I127" s="7"/>
      <c r="J127" s="6"/>
      <c r="K127" s="7"/>
      <c r="L127" s="6"/>
      <c r="M127" s="6"/>
    </row>
    <row r="128" spans="1:13" ht="12.75">
      <c r="A128" s="4"/>
      <c r="B128" s="9">
        <f>SUM(B116:B127)</f>
        <v>350.53</v>
      </c>
      <c r="C128" s="9">
        <f aca="true" t="shared" si="7" ref="C128:M128">SUM(C116:C127)</f>
        <v>4989.13</v>
      </c>
      <c r="D128" s="9">
        <f t="shared" si="7"/>
        <v>316245</v>
      </c>
      <c r="E128" s="9">
        <f t="shared" si="7"/>
        <v>258747.34000000003</v>
      </c>
      <c r="F128" s="9">
        <f t="shared" si="7"/>
        <v>23774</v>
      </c>
      <c r="G128" s="9">
        <f t="shared" si="7"/>
        <v>6699</v>
      </c>
      <c r="H128" s="9">
        <f t="shared" si="7"/>
        <v>663043.14</v>
      </c>
      <c r="I128" s="9">
        <f t="shared" si="7"/>
        <v>44328</v>
      </c>
      <c r="J128" s="9">
        <f t="shared" si="7"/>
        <v>12649.79</v>
      </c>
      <c r="K128" s="9">
        <f t="shared" si="7"/>
        <v>4885.18</v>
      </c>
      <c r="L128" s="9">
        <f t="shared" si="7"/>
        <v>4925</v>
      </c>
      <c r="M128" s="9">
        <f t="shared" si="7"/>
        <v>2488.1</v>
      </c>
    </row>
    <row r="129" spans="1:13" ht="25.5">
      <c r="A129" s="4" t="s">
        <v>14</v>
      </c>
      <c r="B129" s="5" t="s">
        <v>117</v>
      </c>
      <c r="C129" s="5" t="s">
        <v>120</v>
      </c>
      <c r="D129" s="5" t="s">
        <v>126</v>
      </c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2.75">
      <c r="A130" s="4">
        <v>2003</v>
      </c>
      <c r="B130" s="6"/>
      <c r="C130" s="6"/>
      <c r="D130" s="6"/>
      <c r="E130" s="6"/>
      <c r="F130" s="7"/>
      <c r="G130" s="7"/>
      <c r="H130" s="6"/>
      <c r="I130" s="7"/>
      <c r="J130" s="6"/>
      <c r="K130" s="6"/>
      <c r="L130" s="6"/>
      <c r="M130" s="6"/>
    </row>
    <row r="131" spans="1:13" ht="12.75">
      <c r="A131" s="4">
        <v>2004</v>
      </c>
      <c r="B131" s="6"/>
      <c r="C131" s="6"/>
      <c r="D131" s="6"/>
      <c r="E131" s="6"/>
      <c r="F131" s="7"/>
      <c r="G131" s="7"/>
      <c r="H131" s="6"/>
      <c r="I131" s="6"/>
      <c r="J131" s="6"/>
      <c r="K131" s="6"/>
      <c r="L131" s="6"/>
      <c r="M131" s="6"/>
    </row>
    <row r="132" spans="1:13" ht="12.75">
      <c r="A132" s="4">
        <v>2005</v>
      </c>
      <c r="B132" s="6"/>
      <c r="C132" s="6"/>
      <c r="D132" s="6"/>
      <c r="E132" s="6"/>
      <c r="F132" s="7"/>
      <c r="G132" s="7"/>
      <c r="H132" s="6"/>
      <c r="I132" s="6"/>
      <c r="J132" s="6"/>
      <c r="K132" s="6"/>
      <c r="L132" s="6"/>
      <c r="M132" s="6"/>
    </row>
    <row r="133" spans="1:13" ht="12.75">
      <c r="A133" s="4">
        <v>2006</v>
      </c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12.75">
      <c r="A134" s="4">
        <v>2007</v>
      </c>
      <c r="B134" s="6"/>
      <c r="C134" s="6"/>
      <c r="D134" s="6"/>
      <c r="E134" s="6"/>
      <c r="F134" s="7"/>
      <c r="G134" s="6"/>
      <c r="H134" s="6"/>
      <c r="I134" s="6"/>
      <c r="J134" s="6"/>
      <c r="K134" s="6"/>
      <c r="L134" s="6"/>
      <c r="M134" s="6"/>
    </row>
    <row r="135" spans="1:13" ht="12.75">
      <c r="A135" s="4">
        <v>2008</v>
      </c>
      <c r="B135" s="6"/>
      <c r="C135" s="6"/>
      <c r="D135" s="6"/>
      <c r="E135" s="6"/>
      <c r="F135" s="7"/>
      <c r="G135" s="6"/>
      <c r="H135" s="6"/>
      <c r="I135" s="6"/>
      <c r="J135" s="6"/>
      <c r="K135" s="6"/>
      <c r="L135" s="6"/>
      <c r="M135" s="6"/>
    </row>
    <row r="136" spans="1:13" ht="12.75">
      <c r="A136" s="4">
        <v>2009</v>
      </c>
      <c r="B136" s="6"/>
      <c r="C136" s="6"/>
      <c r="D136" s="6"/>
      <c r="E136" s="6"/>
      <c r="F136" s="7"/>
      <c r="G136" s="6"/>
      <c r="H136" s="6"/>
      <c r="I136" s="6"/>
      <c r="J136" s="6"/>
      <c r="K136" s="6"/>
      <c r="L136" s="6"/>
      <c r="M136" s="6"/>
    </row>
    <row r="137" spans="1:13" ht="12.75">
      <c r="A137" s="4">
        <v>2010</v>
      </c>
      <c r="B137" s="6"/>
      <c r="C137" s="6"/>
      <c r="D137" s="6"/>
      <c r="E137" s="6"/>
      <c r="F137" s="7"/>
      <c r="G137" s="6"/>
      <c r="H137" s="6"/>
      <c r="I137" s="6"/>
      <c r="J137" s="6"/>
      <c r="K137" s="6"/>
      <c r="L137" s="6"/>
      <c r="M137" s="6"/>
    </row>
    <row r="138" spans="1:13" ht="12.75">
      <c r="A138" s="4">
        <v>2011</v>
      </c>
      <c r="B138" s="6"/>
      <c r="C138" s="6"/>
      <c r="D138" s="6"/>
      <c r="E138" s="6"/>
      <c r="F138" s="7"/>
      <c r="G138" s="6"/>
      <c r="H138" s="6"/>
      <c r="I138" s="6"/>
      <c r="J138" s="6"/>
      <c r="K138" s="6"/>
      <c r="L138" s="6"/>
      <c r="M138" s="6"/>
    </row>
    <row r="139" spans="1:13" ht="12.75">
      <c r="A139" s="4">
        <v>2012</v>
      </c>
      <c r="B139" s="6">
        <v>1666.8</v>
      </c>
      <c r="C139" s="6"/>
      <c r="D139" s="6"/>
      <c r="E139" s="6"/>
      <c r="F139" s="7"/>
      <c r="G139" s="6"/>
      <c r="H139" s="6"/>
      <c r="I139" s="6"/>
      <c r="J139" s="6"/>
      <c r="K139" s="6"/>
      <c r="L139" s="6"/>
      <c r="M139" s="6"/>
    </row>
    <row r="140" spans="1:13" ht="12.75">
      <c r="A140" s="4">
        <v>2013</v>
      </c>
      <c r="B140" s="6"/>
      <c r="C140" s="6">
        <v>2403.32</v>
      </c>
      <c r="D140" s="6">
        <v>141313.82</v>
      </c>
      <c r="E140" s="6"/>
      <c r="F140" s="7"/>
      <c r="G140" s="6"/>
      <c r="H140" s="6"/>
      <c r="I140" s="6"/>
      <c r="J140" s="6"/>
      <c r="K140" s="6"/>
      <c r="L140" s="6"/>
      <c r="M140" s="6"/>
    </row>
    <row r="141" spans="1:13" ht="12.75">
      <c r="A141" s="4">
        <v>2014</v>
      </c>
      <c r="B141" s="6"/>
      <c r="C141" s="6">
        <v>1560.22</v>
      </c>
      <c r="D141" s="6"/>
      <c r="E141" s="6"/>
      <c r="F141" s="7"/>
      <c r="G141" s="6"/>
      <c r="H141" s="6"/>
      <c r="I141" s="7"/>
      <c r="J141" s="6"/>
      <c r="K141" s="7"/>
      <c r="L141" s="6"/>
      <c r="M141" s="6"/>
    </row>
    <row r="142" spans="1:13" ht="12.75">
      <c r="A142" s="4"/>
      <c r="B142" s="9">
        <f>SUM(B130:B141)</f>
        <v>1666.8</v>
      </c>
      <c r="C142" s="9">
        <f>SUM(C130:C141)</f>
        <v>3963.54</v>
      </c>
      <c r="D142" s="9">
        <f>SUM(D130:D141)</f>
        <v>141313.82</v>
      </c>
      <c r="E142" s="9">
        <f>SUM(B128:M128)+SUM(B142:D142)</f>
        <v>1490068.37</v>
      </c>
      <c r="F142" s="7"/>
      <c r="G142" s="7"/>
      <c r="H142" s="6"/>
      <c r="I142" s="7"/>
      <c r="J142" s="7"/>
      <c r="K142" s="7"/>
      <c r="L142" s="6"/>
      <c r="M142" s="6"/>
    </row>
    <row r="143" spans="1:13" ht="51">
      <c r="A143" s="4" t="s">
        <v>16</v>
      </c>
      <c r="B143" s="5" t="s">
        <v>17</v>
      </c>
      <c r="C143" s="4" t="s">
        <v>22</v>
      </c>
      <c r="D143" s="4" t="s">
        <v>31</v>
      </c>
      <c r="E143" s="4" t="s">
        <v>72</v>
      </c>
      <c r="F143" s="5" t="s">
        <v>77</v>
      </c>
      <c r="G143" s="5" t="s">
        <v>87</v>
      </c>
      <c r="H143" s="5" t="s">
        <v>89</v>
      </c>
      <c r="I143" s="5" t="s">
        <v>90</v>
      </c>
      <c r="J143" s="5" t="s">
        <v>92</v>
      </c>
      <c r="K143" s="5" t="s">
        <v>93</v>
      </c>
      <c r="L143" s="5" t="s">
        <v>99</v>
      </c>
      <c r="M143" s="5" t="s">
        <v>103</v>
      </c>
    </row>
    <row r="144" spans="1:13" ht="12.75">
      <c r="A144" s="4">
        <v>2003</v>
      </c>
      <c r="B144" s="6">
        <v>2550.08</v>
      </c>
      <c r="C144" s="6">
        <v>5558.34</v>
      </c>
      <c r="D144" s="6"/>
      <c r="E144" s="7"/>
      <c r="F144" s="8"/>
      <c r="G144" s="6"/>
      <c r="H144" s="6"/>
      <c r="I144" s="6"/>
      <c r="J144" s="6"/>
      <c r="K144" s="7"/>
      <c r="L144" s="6"/>
      <c r="M144" s="6"/>
    </row>
    <row r="145" spans="1:13" ht="12.75">
      <c r="A145" s="4">
        <v>2004</v>
      </c>
      <c r="B145" s="6">
        <v>5025.25</v>
      </c>
      <c r="C145" s="6">
        <f>121830.02+1150.06+2473.17+295.85+1457.19</f>
        <v>127206.29000000001</v>
      </c>
      <c r="D145" s="6">
        <f>87597.22+650.14</f>
        <v>88247.36</v>
      </c>
      <c r="E145" s="6"/>
      <c r="F145" s="8"/>
      <c r="G145" s="6"/>
      <c r="H145" s="6"/>
      <c r="I145" s="6"/>
      <c r="J145" s="6"/>
      <c r="K145" s="7"/>
      <c r="L145" s="6"/>
      <c r="M145" s="6"/>
    </row>
    <row r="146" spans="1:13" ht="12.75">
      <c r="A146" s="4">
        <v>2005</v>
      </c>
      <c r="B146" s="6">
        <v>200.3</v>
      </c>
      <c r="C146" s="6">
        <v>3353.03</v>
      </c>
      <c r="D146" s="6">
        <f>101375.58+117340.91+37556.33+8345.85</f>
        <v>264618.67</v>
      </c>
      <c r="E146" s="6"/>
      <c r="F146" s="8"/>
      <c r="G146" s="6"/>
      <c r="H146" s="6"/>
      <c r="I146" s="6"/>
      <c r="J146" s="6"/>
      <c r="K146" s="7"/>
      <c r="L146" s="6"/>
      <c r="M146" s="6"/>
    </row>
    <row r="147" spans="1:13" ht="12.75">
      <c r="A147" s="4">
        <v>2006</v>
      </c>
      <c r="B147" s="6">
        <f>35971+1858</f>
        <v>37829</v>
      </c>
      <c r="C147" s="6"/>
      <c r="D147" s="6">
        <v>15892</v>
      </c>
      <c r="E147" s="6"/>
      <c r="F147" s="8"/>
      <c r="G147" s="6"/>
      <c r="H147" s="6"/>
      <c r="I147" s="6"/>
      <c r="J147" s="6"/>
      <c r="K147" s="7"/>
      <c r="L147" s="6"/>
      <c r="M147" s="6"/>
    </row>
    <row r="148" spans="1:13" ht="12.75">
      <c r="A148" s="4">
        <v>2007</v>
      </c>
      <c r="B148" s="6"/>
      <c r="C148" s="6"/>
      <c r="D148" s="6"/>
      <c r="E148" s="6">
        <v>20544</v>
      </c>
      <c r="F148" s="6">
        <v>4150</v>
      </c>
      <c r="G148" s="6"/>
      <c r="H148" s="6"/>
      <c r="I148" s="6"/>
      <c r="J148" s="6"/>
      <c r="K148" s="7"/>
      <c r="L148" s="6"/>
      <c r="M148" s="6"/>
    </row>
    <row r="149" spans="1:13" ht="12.75">
      <c r="A149" s="4">
        <v>2008</v>
      </c>
      <c r="B149" s="6"/>
      <c r="C149" s="6"/>
      <c r="D149" s="6"/>
      <c r="E149" s="6"/>
      <c r="F149" s="6">
        <v>12030</v>
      </c>
      <c r="G149" s="6">
        <v>1166.82</v>
      </c>
      <c r="H149" s="6"/>
      <c r="I149" s="6"/>
      <c r="J149" s="6"/>
      <c r="K149" s="7"/>
      <c r="L149" s="6"/>
      <c r="M149" s="6"/>
    </row>
    <row r="150" spans="1:13" ht="12.75">
      <c r="A150" s="4">
        <v>2009</v>
      </c>
      <c r="B150" s="6"/>
      <c r="C150" s="6"/>
      <c r="D150" s="6"/>
      <c r="E150" s="6"/>
      <c r="F150" s="6">
        <v>5000</v>
      </c>
      <c r="G150" s="6"/>
      <c r="H150" s="6">
        <f>287423.92+35962.9</f>
        <v>323386.82</v>
      </c>
      <c r="I150" s="6">
        <v>7522.04</v>
      </c>
      <c r="J150" s="6">
        <v>24332.99</v>
      </c>
      <c r="K150" s="6">
        <v>31390.48</v>
      </c>
      <c r="L150" s="6"/>
      <c r="M150" s="6"/>
    </row>
    <row r="151" spans="1:13" ht="12.75">
      <c r="A151" s="4">
        <v>2010</v>
      </c>
      <c r="B151" s="6"/>
      <c r="C151" s="6"/>
      <c r="D151" s="6"/>
      <c r="E151" s="6"/>
      <c r="F151" s="6"/>
      <c r="G151" s="6"/>
      <c r="H151" s="6">
        <v>16280.58</v>
      </c>
      <c r="I151" s="6">
        <v>16280.58</v>
      </c>
      <c r="J151" s="6"/>
      <c r="K151" s="7"/>
      <c r="L151" s="6">
        <v>14988.67</v>
      </c>
      <c r="M151" s="6"/>
    </row>
    <row r="152" spans="1:13" ht="12.75">
      <c r="A152" s="4">
        <v>2011</v>
      </c>
      <c r="B152" s="6"/>
      <c r="C152" s="6"/>
      <c r="D152" s="6"/>
      <c r="E152" s="6"/>
      <c r="F152" s="6"/>
      <c r="G152" s="6"/>
      <c r="H152" s="6">
        <v>331545.86</v>
      </c>
      <c r="I152" s="6">
        <f>19155.42+47532.12</f>
        <v>66687.54000000001</v>
      </c>
      <c r="J152" s="6">
        <v>15060.08</v>
      </c>
      <c r="K152" s="7"/>
      <c r="L152" s="6">
        <v>159722.19</v>
      </c>
      <c r="M152" s="6">
        <v>26148.09</v>
      </c>
    </row>
    <row r="153" spans="1:13" ht="12.75">
      <c r="A153" s="4">
        <v>2012</v>
      </c>
      <c r="B153" s="6"/>
      <c r="C153" s="6"/>
      <c r="D153" s="6"/>
      <c r="E153" s="6"/>
      <c r="F153" s="6"/>
      <c r="G153" s="6"/>
      <c r="H153" s="6">
        <v>1191.18</v>
      </c>
      <c r="I153" s="6"/>
      <c r="J153" s="6"/>
      <c r="K153" s="7"/>
      <c r="L153" s="6">
        <v>16225.57</v>
      </c>
      <c r="M153" s="6">
        <v>1320</v>
      </c>
    </row>
    <row r="154" spans="1:13" ht="12.75">
      <c r="A154" s="4">
        <v>2013</v>
      </c>
      <c r="B154" s="6"/>
      <c r="C154" s="6"/>
      <c r="D154" s="6"/>
      <c r="E154" s="7"/>
      <c r="F154" s="6"/>
      <c r="G154" s="6"/>
      <c r="H154" s="6">
        <v>1428</v>
      </c>
      <c r="I154" s="6"/>
      <c r="J154" s="6"/>
      <c r="K154" s="7"/>
      <c r="L154" s="6"/>
      <c r="M154" s="6"/>
    </row>
    <row r="155" spans="1:13" ht="12.75">
      <c r="A155" s="4">
        <v>2014</v>
      </c>
      <c r="B155" s="6"/>
      <c r="C155" s="6"/>
      <c r="D155" s="6"/>
      <c r="E155" s="7"/>
      <c r="F155" s="6"/>
      <c r="G155" s="6"/>
      <c r="H155" s="6"/>
      <c r="I155" s="6"/>
      <c r="J155" s="6"/>
      <c r="K155" s="7"/>
      <c r="L155" s="6"/>
      <c r="M155" s="6"/>
    </row>
    <row r="156" spans="1:13" ht="12.75">
      <c r="A156" s="4"/>
      <c r="B156" s="9">
        <f>SUM(B144:B155)</f>
        <v>45604.63</v>
      </c>
      <c r="C156" s="9">
        <f aca="true" t="shared" si="8" ref="C156:M156">SUM(C144:C155)</f>
        <v>136117.66</v>
      </c>
      <c r="D156" s="9">
        <f t="shared" si="8"/>
        <v>368758.02999999997</v>
      </c>
      <c r="E156" s="9">
        <f t="shared" si="8"/>
        <v>20544</v>
      </c>
      <c r="F156" s="9">
        <f t="shared" si="8"/>
        <v>21180</v>
      </c>
      <c r="G156" s="9">
        <f t="shared" si="8"/>
        <v>1166.82</v>
      </c>
      <c r="H156" s="9">
        <f t="shared" si="8"/>
        <v>673832.4400000001</v>
      </c>
      <c r="I156" s="9">
        <f t="shared" si="8"/>
        <v>90490.16</v>
      </c>
      <c r="J156" s="9">
        <f t="shared" si="8"/>
        <v>39393.07</v>
      </c>
      <c r="K156" s="4">
        <f t="shared" si="8"/>
        <v>31390.48</v>
      </c>
      <c r="L156" s="9">
        <f t="shared" si="8"/>
        <v>190936.43000000002</v>
      </c>
      <c r="M156" s="9">
        <f t="shared" si="8"/>
        <v>27468.09</v>
      </c>
    </row>
    <row r="157" spans="1:13" ht="25.5">
      <c r="A157" s="4" t="s">
        <v>16</v>
      </c>
      <c r="B157" s="5" t="s">
        <v>107</v>
      </c>
      <c r="C157" s="5" t="s">
        <v>116</v>
      </c>
      <c r="D157" s="5" t="s">
        <v>125</v>
      </c>
      <c r="E157" s="5" t="s">
        <v>126</v>
      </c>
      <c r="F157" s="5" t="s">
        <v>127</v>
      </c>
      <c r="G157" s="5"/>
      <c r="H157" s="5"/>
      <c r="I157" s="5"/>
      <c r="J157" s="5"/>
      <c r="K157" s="5"/>
      <c r="L157" s="5"/>
      <c r="M157" s="5"/>
    </row>
    <row r="158" spans="1:13" ht="12.75">
      <c r="A158" s="4">
        <v>2003</v>
      </c>
      <c r="B158" s="6"/>
      <c r="C158" s="6"/>
      <c r="D158" s="6"/>
      <c r="E158" s="6"/>
      <c r="F158" s="8"/>
      <c r="G158" s="6"/>
      <c r="H158" s="6"/>
      <c r="I158" s="6"/>
      <c r="J158" s="6"/>
      <c r="K158" s="7"/>
      <c r="L158" s="6"/>
      <c r="M158" s="6"/>
    </row>
    <row r="159" spans="1:13" ht="12.75">
      <c r="A159" s="4">
        <v>2004</v>
      </c>
      <c r="B159" s="6"/>
      <c r="C159" s="6"/>
      <c r="D159" s="6"/>
      <c r="E159" s="6"/>
      <c r="F159" s="8"/>
      <c r="G159" s="6"/>
      <c r="H159" s="6"/>
      <c r="I159" s="6"/>
      <c r="J159" s="6"/>
      <c r="K159" s="7"/>
      <c r="L159" s="6"/>
      <c r="M159" s="6"/>
    </row>
    <row r="160" spans="1:13" ht="12.75">
      <c r="A160" s="4">
        <v>2005</v>
      </c>
      <c r="B160" s="6"/>
      <c r="C160" s="6"/>
      <c r="D160" s="6"/>
      <c r="E160" s="6"/>
      <c r="F160" s="8"/>
      <c r="G160" s="6"/>
      <c r="H160" s="6"/>
      <c r="I160" s="6"/>
      <c r="J160" s="6"/>
      <c r="K160" s="7"/>
      <c r="L160" s="6"/>
      <c r="M160" s="6"/>
    </row>
    <row r="161" spans="1:13" ht="12.75">
      <c r="A161" s="4">
        <v>2006</v>
      </c>
      <c r="B161" s="6"/>
      <c r="C161" s="6"/>
      <c r="D161" s="6"/>
      <c r="E161" s="6"/>
      <c r="F161" s="6">
        <f>57981.07+81530</f>
        <v>139511.07</v>
      </c>
      <c r="G161" s="6"/>
      <c r="H161" s="6"/>
      <c r="I161" s="6"/>
      <c r="J161" s="6"/>
      <c r="K161" s="7"/>
      <c r="L161" s="6"/>
      <c r="M161" s="6"/>
    </row>
    <row r="162" spans="1:13" ht="12.75">
      <c r="A162" s="4">
        <v>2007</v>
      </c>
      <c r="B162" s="6"/>
      <c r="C162" s="6"/>
      <c r="D162" s="6"/>
      <c r="E162" s="6"/>
      <c r="F162" s="6"/>
      <c r="G162" s="6"/>
      <c r="H162" s="6"/>
      <c r="I162" s="6"/>
      <c r="J162" s="6"/>
      <c r="K162" s="7"/>
      <c r="L162" s="6"/>
      <c r="M162" s="6"/>
    </row>
    <row r="163" spans="1:13" ht="12.75">
      <c r="A163" s="4">
        <v>2008</v>
      </c>
      <c r="B163" s="6"/>
      <c r="C163" s="6"/>
      <c r="D163" s="6"/>
      <c r="E163" s="6"/>
      <c r="F163" s="6"/>
      <c r="G163" s="6"/>
      <c r="H163" s="6"/>
      <c r="I163" s="6"/>
      <c r="J163" s="6"/>
      <c r="K163" s="7"/>
      <c r="L163" s="6"/>
      <c r="M163" s="6"/>
    </row>
    <row r="164" spans="1:13" ht="12.75">
      <c r="A164" s="4">
        <v>2009</v>
      </c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1:13" ht="12.75">
      <c r="A165" s="4">
        <v>2010</v>
      </c>
      <c r="B165" s="6"/>
      <c r="C165" s="6"/>
      <c r="D165" s="6"/>
      <c r="E165" s="6"/>
      <c r="F165" s="6"/>
      <c r="G165" s="6"/>
      <c r="H165" s="6"/>
      <c r="I165" s="6"/>
      <c r="J165" s="6"/>
      <c r="K165" s="7"/>
      <c r="L165" s="6"/>
      <c r="M165" s="6"/>
    </row>
    <row r="166" spans="1:13" ht="12.75">
      <c r="A166" s="4">
        <v>2011</v>
      </c>
      <c r="B166" s="6">
        <v>10904.65</v>
      </c>
      <c r="C166" s="6"/>
      <c r="D166" s="6"/>
      <c r="E166" s="6"/>
      <c r="F166" s="6"/>
      <c r="G166" s="6"/>
      <c r="H166" s="6"/>
      <c r="I166" s="6"/>
      <c r="J166" s="6"/>
      <c r="K166" s="7"/>
      <c r="L166" s="6"/>
      <c r="M166" s="6"/>
    </row>
    <row r="167" spans="1:13" ht="12.75">
      <c r="A167" s="4">
        <v>2012</v>
      </c>
      <c r="B167" s="6"/>
      <c r="C167" s="6">
        <v>25769.74</v>
      </c>
      <c r="D167" s="6"/>
      <c r="E167" s="6"/>
      <c r="F167" s="6"/>
      <c r="G167" s="6"/>
      <c r="H167" s="6"/>
      <c r="I167" s="6"/>
      <c r="J167" s="6"/>
      <c r="K167" s="7"/>
      <c r="L167" s="6"/>
      <c r="M167" s="6"/>
    </row>
    <row r="168" spans="1:13" ht="12.75">
      <c r="A168" s="4">
        <v>2013</v>
      </c>
      <c r="B168" s="6"/>
      <c r="C168" s="6"/>
      <c r="D168" s="6"/>
      <c r="E168" s="6">
        <v>145496</v>
      </c>
      <c r="F168" s="6"/>
      <c r="G168" s="6"/>
      <c r="H168" s="6"/>
      <c r="I168" s="6"/>
      <c r="J168" s="6"/>
      <c r="K168" s="7"/>
      <c r="L168" s="6"/>
      <c r="M168" s="6"/>
    </row>
    <row r="169" spans="1:13" ht="12.75">
      <c r="A169" s="4">
        <v>2014</v>
      </c>
      <c r="B169" s="6"/>
      <c r="C169" s="6">
        <v>2994.28</v>
      </c>
      <c r="D169" s="6">
        <v>4031.16</v>
      </c>
      <c r="E169" s="6"/>
      <c r="F169" s="6"/>
      <c r="G169" s="6"/>
      <c r="H169" s="6"/>
      <c r="I169" s="6"/>
      <c r="J169" s="6"/>
      <c r="K169" s="7"/>
      <c r="L169" s="6"/>
      <c r="M169" s="6"/>
    </row>
    <row r="170" spans="1:13" ht="12.75">
      <c r="A170" s="4"/>
      <c r="B170" s="9">
        <f>SUM(B158:B169)</f>
        <v>10904.65</v>
      </c>
      <c r="C170" s="9">
        <f>SUM(C158:C169)</f>
        <v>28764.02</v>
      </c>
      <c r="D170" s="9">
        <f>SUM(D158:D169)</f>
        <v>4031.16</v>
      </c>
      <c r="E170" s="9">
        <f>SUM(E158:E169)</f>
        <v>145496</v>
      </c>
      <c r="F170" s="9">
        <f>SUM(F158:F169)</f>
        <v>139511.07</v>
      </c>
      <c r="G170" s="9" t="s">
        <v>129</v>
      </c>
      <c r="H170" s="7"/>
      <c r="I170" s="7"/>
      <c r="J170" s="7"/>
      <c r="K170" s="7"/>
      <c r="L170" s="6"/>
      <c r="M170" s="7"/>
    </row>
    <row r="171" spans="1:13" ht="51">
      <c r="A171" s="4" t="s">
        <v>0</v>
      </c>
      <c r="B171" s="4" t="s">
        <v>29</v>
      </c>
      <c r="C171" s="5" t="s">
        <v>69</v>
      </c>
      <c r="D171" s="5" t="s">
        <v>86</v>
      </c>
      <c r="E171" s="5" t="s">
        <v>101</v>
      </c>
      <c r="F171" s="5" t="s">
        <v>102</v>
      </c>
      <c r="G171" s="5" t="s">
        <v>111</v>
      </c>
      <c r="H171" s="5" t="s">
        <v>110</v>
      </c>
      <c r="I171" s="5" t="s">
        <v>112</v>
      </c>
      <c r="J171" s="5" t="s">
        <v>126</v>
      </c>
      <c r="K171" s="7"/>
      <c r="L171" s="7"/>
      <c r="M171" s="7"/>
    </row>
    <row r="172" spans="1:13" ht="12.75">
      <c r="A172" s="4">
        <v>2003</v>
      </c>
      <c r="B172" s="6">
        <v>20864.63</v>
      </c>
      <c r="C172" s="8"/>
      <c r="D172" s="6"/>
      <c r="E172" s="6"/>
      <c r="F172" s="6"/>
      <c r="G172" s="6"/>
      <c r="H172" s="6"/>
      <c r="I172" s="6"/>
      <c r="J172" s="7"/>
      <c r="K172" s="7"/>
      <c r="L172" s="7"/>
      <c r="M172" s="7"/>
    </row>
    <row r="173" spans="1:13" ht="12.75">
      <c r="A173" s="4">
        <v>2004</v>
      </c>
      <c r="B173" s="6"/>
      <c r="C173" s="8"/>
      <c r="D173" s="6"/>
      <c r="E173" s="6"/>
      <c r="F173" s="6"/>
      <c r="G173" s="6"/>
      <c r="H173" s="6"/>
      <c r="I173" s="6"/>
      <c r="J173" s="7"/>
      <c r="K173" s="7"/>
      <c r="L173" s="7"/>
      <c r="M173" s="7"/>
    </row>
    <row r="174" spans="1:13" ht="12.75">
      <c r="A174" s="4">
        <v>2005</v>
      </c>
      <c r="B174" s="6"/>
      <c r="C174" s="8"/>
      <c r="D174" s="6"/>
      <c r="E174" s="6"/>
      <c r="F174" s="6"/>
      <c r="G174" s="6"/>
      <c r="H174" s="6"/>
      <c r="I174" s="6"/>
      <c r="J174" s="7"/>
      <c r="K174" s="7"/>
      <c r="L174" s="7"/>
      <c r="M174" s="7"/>
    </row>
    <row r="175" spans="1:13" ht="12.75">
      <c r="A175" s="4">
        <v>2006</v>
      </c>
      <c r="B175" s="6"/>
      <c r="C175" s="8"/>
      <c r="D175" s="6"/>
      <c r="E175" s="6"/>
      <c r="F175" s="6"/>
      <c r="G175" s="6"/>
      <c r="H175" s="6"/>
      <c r="I175" s="6"/>
      <c r="J175" s="7"/>
      <c r="K175" s="7"/>
      <c r="L175" s="7"/>
      <c r="M175" s="7"/>
    </row>
    <row r="176" spans="1:13" ht="12.75">
      <c r="A176" s="4">
        <v>2007</v>
      </c>
      <c r="B176" s="6"/>
      <c r="C176" s="6">
        <v>13693</v>
      </c>
      <c r="D176" s="6"/>
      <c r="E176" s="6"/>
      <c r="F176" s="6"/>
      <c r="G176" s="6"/>
      <c r="H176" s="6"/>
      <c r="I176" s="6"/>
      <c r="J176" s="7"/>
      <c r="K176" s="7"/>
      <c r="L176" s="7"/>
      <c r="M176" s="7"/>
    </row>
    <row r="177" spans="1:13" ht="12.75">
      <c r="A177" s="4">
        <v>2008</v>
      </c>
      <c r="B177" s="6"/>
      <c r="C177" s="6">
        <v>2371.64</v>
      </c>
      <c r="D177" s="6">
        <v>4173</v>
      </c>
      <c r="E177" s="6"/>
      <c r="F177" s="6"/>
      <c r="G177" s="6"/>
      <c r="H177" s="6"/>
      <c r="I177" s="6"/>
      <c r="J177" s="6"/>
      <c r="K177" s="7"/>
      <c r="L177" s="7"/>
      <c r="M177" s="7"/>
    </row>
    <row r="178" spans="1:13" ht="12.75">
      <c r="A178" s="4">
        <v>2009</v>
      </c>
      <c r="B178" s="6"/>
      <c r="C178" s="6"/>
      <c r="D178" s="6">
        <v>5000</v>
      </c>
      <c r="E178" s="6"/>
      <c r="F178" s="6"/>
      <c r="G178" s="6"/>
      <c r="H178" s="6"/>
      <c r="I178" s="6"/>
      <c r="J178" s="6"/>
      <c r="K178" s="7"/>
      <c r="L178" s="7"/>
      <c r="M178" s="7"/>
    </row>
    <row r="179" spans="1:13" ht="12.75">
      <c r="A179" s="4">
        <v>2010</v>
      </c>
      <c r="B179" s="6"/>
      <c r="C179" s="6"/>
      <c r="D179" s="6"/>
      <c r="E179" s="6"/>
      <c r="F179" s="6"/>
      <c r="G179" s="6"/>
      <c r="H179" s="6"/>
      <c r="I179" s="6"/>
      <c r="J179" s="6"/>
      <c r="K179" s="7"/>
      <c r="L179" s="7"/>
      <c r="M179" s="7"/>
    </row>
    <row r="180" spans="1:13" ht="12.75">
      <c r="A180" s="4">
        <v>2011</v>
      </c>
      <c r="B180" s="6"/>
      <c r="C180" s="6"/>
      <c r="D180" s="6"/>
      <c r="E180" s="6">
        <v>36405.76</v>
      </c>
      <c r="F180" s="6">
        <v>1966.48</v>
      </c>
      <c r="G180" s="6">
        <v>4440</v>
      </c>
      <c r="H180" s="6"/>
      <c r="I180" s="6"/>
      <c r="J180" s="6"/>
      <c r="K180" s="7"/>
      <c r="L180" s="7"/>
      <c r="M180" s="7"/>
    </row>
    <row r="181" spans="1:13" ht="12.75">
      <c r="A181" s="4">
        <v>2012</v>
      </c>
      <c r="B181" s="6"/>
      <c r="C181" s="6"/>
      <c r="D181" s="6"/>
      <c r="E181" s="6"/>
      <c r="F181" s="6"/>
      <c r="G181" s="6">
        <f>44168.21+3420</f>
        <v>47588.21</v>
      </c>
      <c r="H181" s="6">
        <v>60027.1</v>
      </c>
      <c r="I181" s="6">
        <v>9618</v>
      </c>
      <c r="J181" s="6"/>
      <c r="K181" s="7"/>
      <c r="L181" s="7"/>
      <c r="M181" s="7"/>
    </row>
    <row r="182" spans="1:13" ht="12.75">
      <c r="A182" s="4">
        <v>2013</v>
      </c>
      <c r="B182" s="6"/>
      <c r="C182" s="6"/>
      <c r="D182" s="6"/>
      <c r="E182" s="6"/>
      <c r="F182" s="6"/>
      <c r="G182" s="6">
        <f>39194.78+16158.18</f>
        <v>55352.96</v>
      </c>
      <c r="H182" s="6">
        <v>49632.04</v>
      </c>
      <c r="I182" s="6">
        <v>188027.17</v>
      </c>
      <c r="J182" s="6">
        <v>120358.87</v>
      </c>
      <c r="K182" s="7"/>
      <c r="L182" s="7"/>
      <c r="M182" s="7"/>
    </row>
    <row r="183" spans="1:13" ht="12.75">
      <c r="A183" s="4">
        <v>2014</v>
      </c>
      <c r="B183" s="6"/>
      <c r="C183" s="6"/>
      <c r="D183" s="6"/>
      <c r="E183" s="6"/>
      <c r="F183" s="6"/>
      <c r="G183" s="6"/>
      <c r="H183" s="6"/>
      <c r="I183" s="6">
        <v>173125.24</v>
      </c>
      <c r="J183" s="6"/>
      <c r="K183" s="7"/>
      <c r="L183" s="7"/>
      <c r="M183" s="7"/>
    </row>
    <row r="184" spans="1:13" ht="12.75">
      <c r="A184" s="7"/>
      <c r="B184" s="9">
        <f>SUM(B172:B183)</f>
        <v>20864.63</v>
      </c>
      <c r="C184" s="9">
        <f aca="true" t="shared" si="9" ref="C184:J184">SUM(C172:C183)</f>
        <v>16064.64</v>
      </c>
      <c r="D184" s="9">
        <f t="shared" si="9"/>
        <v>9173</v>
      </c>
      <c r="E184" s="9">
        <f t="shared" si="9"/>
        <v>36405.76</v>
      </c>
      <c r="F184" s="9">
        <f t="shared" si="9"/>
        <v>1966.48</v>
      </c>
      <c r="G184" s="9">
        <f t="shared" si="9"/>
        <v>107381.17</v>
      </c>
      <c r="H184" s="9">
        <f t="shared" si="9"/>
        <v>109659.14</v>
      </c>
      <c r="I184" s="9">
        <f t="shared" si="9"/>
        <v>370770.41000000003</v>
      </c>
      <c r="J184" s="9">
        <f t="shared" si="9"/>
        <v>120358.87</v>
      </c>
      <c r="K184" s="9">
        <f>SUM(B184:J184)</f>
        <v>792644.1</v>
      </c>
      <c r="L184" s="7"/>
      <c r="M184" s="7"/>
    </row>
    <row r="185" spans="3:7" ht="12.75">
      <c r="C185" s="3"/>
      <c r="D185" s="3"/>
      <c r="E185" s="3"/>
      <c r="F185" s="3"/>
      <c r="G185" s="3"/>
    </row>
    <row r="186" spans="3:7" ht="12.75">
      <c r="C186" s="3"/>
      <c r="D186" s="3"/>
      <c r="E186" s="3"/>
      <c r="F186" s="3"/>
      <c r="G186" s="3"/>
    </row>
  </sheetData>
  <printOptions/>
  <pageMargins left="0.75" right="0.75" top="1" bottom="1" header="0" footer="0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</dc:creator>
  <cp:keywords/>
  <dc:description/>
  <cp:lastModifiedBy>Veronika</cp:lastModifiedBy>
  <cp:lastPrinted>2015-06-03T12:46:55Z</cp:lastPrinted>
  <dcterms:created xsi:type="dcterms:W3CDTF">2015-04-20T05:53:25Z</dcterms:created>
  <dcterms:modified xsi:type="dcterms:W3CDTF">2015-06-11T09:52:24Z</dcterms:modified>
  <cp:category/>
  <cp:version/>
  <cp:contentType/>
  <cp:contentStatus/>
</cp:coreProperties>
</file>