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11505" activeTab="0"/>
  </bookViews>
  <sheets>
    <sheet name="Cene_Sim_16.marc" sheetId="1" r:id="rId1"/>
    <sheet name="Cene_Sim_ObčinaPrevalje" sheetId="2" r:id="rId2"/>
  </sheets>
  <externalReferences>
    <externalReference r:id="rId5"/>
    <externalReference r:id="rId6"/>
    <externalReference r:id="rId7"/>
  </externalReferences>
  <definedNames>
    <definedName name="AM">#REF!</definedName>
    <definedName name="Donos" localSheetId="0">'Cene_Sim_16.marc'!#REF!</definedName>
    <definedName name="Donos" localSheetId="1">'Cene_Sim_ObčinaPrevalje'!#REF!</definedName>
    <definedName name="fak.fin.gar" localSheetId="0">'Cene_Sim_16.marc'!#REF!</definedName>
    <definedName name="fak.fin.gar" localSheetId="1">'Cene_Sim_ObčinaPrevalje'!#REF!</definedName>
    <definedName name="fak_deponir">#REF!</definedName>
    <definedName name="fak_kanal">#REF!</definedName>
    <definedName name="fak_voda">#REF!</definedName>
    <definedName name="fak_zbiranje">#REF!</definedName>
    <definedName name="Izlo_stro" localSheetId="0">'Cene_Sim_16.marc'!#REF!</definedName>
    <definedName name="Izlo_stro" localSheetId="1">'Cene_Sim_ObčinaPrevalje'!#REF!</definedName>
    <definedName name="NPVo" localSheetId="0">'Cene_Sim_16.marc'!$D$153</definedName>
    <definedName name="NPVo" localSheetId="1">'Cene_Sim_ObčinaPrevalje'!$D$153</definedName>
    <definedName name="NPVo">#REF!</definedName>
    <definedName name="Ostali_stro_in_odho">#REF!</definedName>
    <definedName name="Plače">#REF!</definedName>
    <definedName name="_xlnm.Print_Area" localSheetId="0">'Cene_Sim_16.marc'!$A$1:$F$88,'Cene_Sim_16.marc'!$A$91:$L$271</definedName>
    <definedName name="_xlnm.Print_Area" localSheetId="1">'Cene_Sim_ObčinaPrevalje'!$A$1:$H$281</definedName>
    <definedName name="pokritja_II__brez_AM">#REF!</definedName>
    <definedName name="pokritja_II_odhodki_financ">#REF!</definedName>
    <definedName name="Stroški_materjala">#REF!</definedName>
    <definedName name="Stroški_storitev">#REF!</definedName>
  </definedNames>
  <calcPr fullCalcOnLoad="1"/>
</workbook>
</file>

<file path=xl/comments1.xml><?xml version="1.0" encoding="utf-8"?>
<comments xmlns="http://schemas.openxmlformats.org/spreadsheetml/2006/main">
  <authors>
    <author>ZVONKO</author>
    <author>ERJAVEC ZVONKO</author>
  </authors>
  <commentList>
    <comment ref="C2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C31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C60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H133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na tri leta, dogovor Medved, Fajmut</t>
        </r>
      </text>
    </comment>
    <comment ref="H138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Iglarjeva, iz količine odloženih odpadkov, mi računamo na zbrane</t>
        </r>
      </text>
    </comment>
    <comment ref="H143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Škafarjeva</t>
        </r>
      </text>
    </comment>
    <comment ref="E244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Izračun gostote na letni ravni in za vse občine 0,273</t>
        </r>
      </text>
    </comment>
  </commentList>
</comments>
</file>

<file path=xl/comments2.xml><?xml version="1.0" encoding="utf-8"?>
<comments xmlns="http://schemas.openxmlformats.org/spreadsheetml/2006/main">
  <authors>
    <author>ZVONKO</author>
    <author>ERJAVEC ZVONKO</author>
  </authors>
  <commentList>
    <comment ref="C2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C31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C60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Predlog Občine Prevalje</t>
        </r>
      </text>
    </comment>
    <comment ref="H133" authorId="0">
      <text>
        <r>
          <rPr>
            <b/>
            <sz val="8"/>
            <rFont val="Tahoma"/>
            <family val="0"/>
          </rPr>
          <t>ZVONKO:</t>
        </r>
        <r>
          <rPr>
            <sz val="8"/>
            <rFont val="Tahoma"/>
            <family val="0"/>
          </rPr>
          <t xml:space="preserve">
na tri leta, dogovor Medved, Fajmut</t>
        </r>
      </text>
    </comment>
    <comment ref="H138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Iglarjeva, iz količine odloženih odpadkov, mi računamo na zbrane</t>
        </r>
      </text>
    </comment>
    <comment ref="H143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Škafarjeva</t>
        </r>
      </text>
    </comment>
    <comment ref="E244" authorId="1">
      <text>
        <r>
          <rPr>
            <b/>
            <sz val="8"/>
            <rFont val="Tahoma"/>
            <family val="0"/>
          </rPr>
          <t>ERJAVEC ZVONKO:</t>
        </r>
        <r>
          <rPr>
            <sz val="8"/>
            <rFont val="Tahoma"/>
            <family val="0"/>
          </rPr>
          <t xml:space="preserve">
Izračun gostote na letni ravni in za vse občine 0,273</t>
        </r>
      </text>
    </comment>
  </commentList>
</comments>
</file>

<file path=xl/sharedStrings.xml><?xml version="1.0" encoding="utf-8"?>
<sst xmlns="http://schemas.openxmlformats.org/spreadsheetml/2006/main" count="616" uniqueCount="150">
  <si>
    <t>pitna voda</t>
  </si>
  <si>
    <t>Kalkulativni elementi variabilnega dela lastne cene in konti</t>
  </si>
  <si>
    <t>vrednosti za kalkulacijo JKP Log 6.1.2010</t>
  </si>
  <si>
    <t>vrednosti za kalkulacijo JKP LOG 26.3.2010</t>
  </si>
  <si>
    <t>Vrednosti za kalkulacijo OP</t>
  </si>
  <si>
    <t>1. Neposredni proizvajalni stroški SKUPAJ</t>
  </si>
  <si>
    <t>a) Stroški materiala</t>
  </si>
  <si>
    <t>strošek električne energije</t>
  </si>
  <si>
    <t>strošek pogonskega goriva</t>
  </si>
  <si>
    <t>drugi stroški materiala</t>
  </si>
  <si>
    <t>b) Stroški storitev</t>
  </si>
  <si>
    <t>stroški intelektualnih in osebnih storitev</t>
  </si>
  <si>
    <t>stroški prevoznih storitev</t>
  </si>
  <si>
    <t>stroški drugih storitev</t>
  </si>
  <si>
    <t>stroški dela</t>
  </si>
  <si>
    <t>stroški amortizacije OS, ki niso javna infrastruktura</t>
  </si>
  <si>
    <t>stroški  vzdrževanja javne infrastrukture</t>
  </si>
  <si>
    <t>stroški vzdrževanja OS, ki niso javna infrastruktura</t>
  </si>
  <si>
    <t>drugi proizvajalni stroški</t>
  </si>
  <si>
    <t>2. Splošni stroški SKUPAJ</t>
  </si>
  <si>
    <t>Posredni stroški nabave</t>
  </si>
  <si>
    <t>Posredni stroški uprave</t>
  </si>
  <si>
    <t>Posredni stroški prodaje</t>
  </si>
  <si>
    <t>3. Donos na vložena sredstva</t>
  </si>
  <si>
    <t>SKUPAJ stroški izvajanja storitve (variabilni)</t>
  </si>
  <si>
    <t>Prodane količine storitve (pitna voda v m3)</t>
  </si>
  <si>
    <t>Variabilna lastna cena brez DDV (eur/m3)</t>
  </si>
  <si>
    <t>variabilna cena z 8,5% DDV (eur/m3)</t>
  </si>
  <si>
    <t>Omrežnina za vodovod. števec 1/2" (v eur/štev. in mes.), brez DDV</t>
  </si>
  <si>
    <t>Omrežnina za vodovod. števec 1/2" (v eur/štev. in mes.), z DDV</t>
  </si>
  <si>
    <t>odvajanje odpadnih vod</t>
  </si>
  <si>
    <t>vrednosti za kalkulacijo JKP LOG 6.1.2010</t>
  </si>
  <si>
    <t>Vrednosti kalkulacije JKP Log 26.3.2010</t>
  </si>
  <si>
    <t>Prodane količine storitve (v m3)</t>
  </si>
  <si>
    <t>Omrežnina za vodovod. Števec 1/2" (v eur/štev. in mes.), brez DDV</t>
  </si>
  <si>
    <t>Omrežnina za vodovod. Števec 1/2" (v eur/štev. in mes.), z DDV</t>
  </si>
  <si>
    <t>odlaganje odpadkov</t>
  </si>
  <si>
    <t>Kalkulativni elementi lastne cene in konti</t>
  </si>
  <si>
    <t>vrednosti kalkulacije JKP Log 6.1.2010</t>
  </si>
  <si>
    <t>Vrednosti za kalkulacijo po predlogu OP</t>
  </si>
  <si>
    <t>I. Stroški infrastrukture (amortizacija in stroški odškodnin)</t>
  </si>
  <si>
    <t>II. Stroški izvajanja storitve</t>
  </si>
  <si>
    <t>Strošek električne energije</t>
  </si>
  <si>
    <t>Strošek pogonskega gradiva</t>
  </si>
  <si>
    <t>Drugi stroški materiala</t>
  </si>
  <si>
    <t>b) stroški storitev</t>
  </si>
  <si>
    <t>Stroški intelektualnih in osebnih storitev</t>
  </si>
  <si>
    <t>Stroški prevoznih storitev</t>
  </si>
  <si>
    <t>Stroški drugih storitev</t>
  </si>
  <si>
    <t>stroški vzdrževanja javne infrastrukture</t>
  </si>
  <si>
    <t>Stroški vzdrževanja OS, ki niso javna infrastruktura</t>
  </si>
  <si>
    <t>Drugi proizvajalni stroški</t>
  </si>
  <si>
    <t>SKUPAJ količina zbranih odpadkov (ton) za Občino Prevalje</t>
  </si>
  <si>
    <t>Cena odlaganja preostankov odpadkov iz kalkulativnih stroškov Občina Prevalje brez DDV (eur/tono)</t>
  </si>
  <si>
    <t>Enotna privzeta lastna cena odlaganja preostankov odpadkov, brez DDV (eur/tono)</t>
  </si>
  <si>
    <t>cena odlaganja preostankov odpadkov z 8,5 % DDV (eur/tono)</t>
  </si>
  <si>
    <t>GJS</t>
  </si>
  <si>
    <t>vrsta elementa cene/lastna cena</t>
  </si>
  <si>
    <t>Enota</t>
  </si>
  <si>
    <t>Kalk.26/3/10</t>
  </si>
  <si>
    <t>Kalk.obč.Prevalje</t>
  </si>
  <si>
    <t xml:space="preserve">Pitna voda za Občino Prevalje </t>
  </si>
  <si>
    <t>Kalkulativni variabilni stroški za pitno vodo</t>
  </si>
  <si>
    <t>€/leto</t>
  </si>
  <si>
    <t>Privzete količine storitve</t>
  </si>
  <si>
    <t>m3/leto</t>
  </si>
  <si>
    <t>Variabilni del lastne cene brez DDV</t>
  </si>
  <si>
    <t>€/m3</t>
  </si>
  <si>
    <t>Variabilna lastna cena z 8,5 % DDV</t>
  </si>
  <si>
    <t>Kalkulativni fiksni stroški za pitno vodo, omrežnina</t>
  </si>
  <si>
    <t>Fiksni del lastne cene za vodovodni prklj.1/2", brez DDV</t>
  </si>
  <si>
    <t>€/priključek in mesec</t>
  </si>
  <si>
    <t>Fiksni del lastne cene za vodovodni prklj.1/2", z 8,5 % DDV</t>
  </si>
  <si>
    <t xml:space="preserve">Odpadne vode za Občino Prevalje </t>
  </si>
  <si>
    <t>Kalkulativni variabilni stroški za odpadne vode</t>
  </si>
  <si>
    <t>Deponiranje preostankov komunalnih odpadkov</t>
  </si>
  <si>
    <t>Kalkulativni stroški odlaganja odpadkov</t>
  </si>
  <si>
    <t>od tega za stroški za infrastrukturo</t>
  </si>
  <si>
    <t>od tega za stroški za izvajanje storitve</t>
  </si>
  <si>
    <t>ton/leto</t>
  </si>
  <si>
    <t>Od tega poslovno gospodarski sektor</t>
  </si>
  <si>
    <t>Število uporabnikov v gospodinjstvih</t>
  </si>
  <si>
    <t>os./mes.</t>
  </si>
  <si>
    <t>SKUPNA lastna cena odlaganja odpadkov, brez DDV</t>
  </si>
  <si>
    <t>€/tono</t>
  </si>
  <si>
    <t>od tega lastna cena za infrastrukturo</t>
  </si>
  <si>
    <t>od tega lastna cena za izvajanje storitve</t>
  </si>
  <si>
    <t>SKUPNA lastna cena odlaganja odpadkov, z 8,5 % DDV</t>
  </si>
  <si>
    <t>SKUPNA lastna cena odlaganja odpadkov, OBČANI, brez DDV</t>
  </si>
  <si>
    <t>€/osebo in mesec</t>
  </si>
  <si>
    <t>SKUPNA lastna cena odlaganja odpadkov, OBČANI, z 8,5 % DDV</t>
  </si>
  <si>
    <t>Tabela 2: Zbir  stroškov in cen na področju ostalih cen ravnanja z odpadki (brez DDV)</t>
  </si>
  <si>
    <t>Vrsta cene</t>
  </si>
  <si>
    <t>Ravne</t>
  </si>
  <si>
    <t>Prevalje</t>
  </si>
  <si>
    <t>Mežica</t>
  </si>
  <si>
    <t>Črna</t>
  </si>
  <si>
    <t>SKUPAJ</t>
  </si>
  <si>
    <t>Finančno jamstvo</t>
  </si>
  <si>
    <t>Strošek za gosopodinjstva</t>
  </si>
  <si>
    <t>Cena fin.jam. za gospodinjstva (€/os in mesec)</t>
  </si>
  <si>
    <t>Cena na enoto mase (€/tono)</t>
  </si>
  <si>
    <t>Okoljska dajatev zaradi onesnaževanja okolja</t>
  </si>
  <si>
    <t>Cena Okoljske dajatve za gospodinjstva (€/os in mesec)</t>
  </si>
  <si>
    <t>Ekološka renta, odškodnina za Lokovico</t>
  </si>
  <si>
    <t>Prevalje, Trg 10, brez DDV</t>
  </si>
  <si>
    <t>Data</t>
  </si>
  <si>
    <t>priključek NO32</t>
  </si>
  <si>
    <t>na priklj.in mesec</t>
  </si>
  <si>
    <t>števec</t>
  </si>
  <si>
    <t>NPVo</t>
  </si>
  <si>
    <t>m3/os in mesec</t>
  </si>
  <si>
    <t xml:space="preserve">stanovanj </t>
  </si>
  <si>
    <t>oseb</t>
  </si>
  <si>
    <t>omrežnina za vodo</t>
  </si>
  <si>
    <t>na os in mesec</t>
  </si>
  <si>
    <t>omrežnina za kanal.</t>
  </si>
  <si>
    <t>Vrsta cene in obremenitve</t>
  </si>
  <si>
    <t>Obstoječe cene, obstoječ tarifni sistem na dan 31/12/09</t>
  </si>
  <si>
    <t>Nove cene, izločene takse in vključeno FJ</t>
  </si>
  <si>
    <t>Ravnanje z odpadki</t>
  </si>
  <si>
    <t>Cena zbiranja in odvoza</t>
  </si>
  <si>
    <t>Cena deponiranja</t>
  </si>
  <si>
    <t>Občinska taksa RR za deponijo Lokovica</t>
  </si>
  <si>
    <t>Fin.jamstvo za zapiranje deponije</t>
  </si>
  <si>
    <t>Ekološka renta kot odškodnina</t>
  </si>
  <si>
    <t>Okoljska dajatev zaradi onesnaženja okolja</t>
  </si>
  <si>
    <t>SKUPAJ OBREMENITVE ODPADKI</t>
  </si>
  <si>
    <t>Pitna voda in odpadne vode</t>
  </si>
  <si>
    <t>Cena za vodo fiksni del</t>
  </si>
  <si>
    <t>Cena za vodo variabilni del (vodarina)</t>
  </si>
  <si>
    <t>Stroški vodnih povračil</t>
  </si>
  <si>
    <t>Vzdrževanje števca</t>
  </si>
  <si>
    <t>Občinska taksa za vodo</t>
  </si>
  <si>
    <t>Cena za odpadne vode fiksni del</t>
  </si>
  <si>
    <t>Cena za odpadne vode variabilni del (kanalščina)</t>
  </si>
  <si>
    <t>SKUPAJ OBREMENITVE VOKA</t>
  </si>
  <si>
    <t>obremenitve GJS varstva okolja</t>
  </si>
  <si>
    <t>DDV</t>
  </si>
  <si>
    <t>Osebe</t>
  </si>
  <si>
    <t>Mesečna količina odpadkov</t>
  </si>
  <si>
    <t>Zbiranje in prevoza</t>
  </si>
  <si>
    <t>Deponiranje</t>
  </si>
  <si>
    <t>Mesečna količina vode</t>
  </si>
  <si>
    <r>
      <t xml:space="preserve">Tabela 1: kalkulacija lastne cene </t>
    </r>
    <r>
      <rPr>
        <i/>
        <sz val="11"/>
        <color indexed="62"/>
        <rFont val="Arial CE"/>
        <family val="0"/>
      </rPr>
      <t>(na osnovi privzetih podatkov)</t>
    </r>
  </si>
  <si>
    <r>
      <t xml:space="preserve">Tabela 3: Položnica -  Mes. stroški za gospodinjstvo, Trg 10 </t>
    </r>
    <r>
      <rPr>
        <b/>
        <sz val="12"/>
        <color indexed="10"/>
        <rFont val="Arial CE"/>
        <family val="0"/>
      </rPr>
      <t>(os.na mes.brez DDV)</t>
    </r>
  </si>
  <si>
    <r>
      <t xml:space="preserve">Tabela 4: Položnica -  Mes. stroški za gospodinjstvo, Trg 10 (4 čl.druž./mes. </t>
    </r>
    <r>
      <rPr>
        <b/>
        <sz val="12"/>
        <color indexed="10"/>
        <rFont val="Arial CE"/>
        <family val="0"/>
      </rPr>
      <t>z DDV)</t>
    </r>
  </si>
  <si>
    <r>
      <t>Tabela 5: Položnica -  Mes. stroški za gospodinjstvo, ind.hiša (4 čl.druž./mes.</t>
    </r>
    <r>
      <rPr>
        <b/>
        <sz val="12"/>
        <color indexed="10"/>
        <rFont val="Arial CE"/>
        <family val="0"/>
      </rPr>
      <t>z DDV)</t>
    </r>
  </si>
  <si>
    <r>
      <t xml:space="preserve">Tabela 6: Položnica -  Mes. stroški za OŠ Franja Goloba (števec NO 80, v € </t>
    </r>
    <r>
      <rPr>
        <b/>
        <sz val="12"/>
        <color indexed="10"/>
        <rFont val="Arial CE"/>
        <family val="0"/>
      </rPr>
      <t>z DDV)</t>
    </r>
  </si>
  <si>
    <t>3/4" priključek</t>
  </si>
</sst>
</file>

<file path=xl/styles.xml><?xml version="1.0" encoding="utf-8"?>
<styleSheet xmlns="http://schemas.openxmlformats.org/spreadsheetml/2006/main">
  <numFmts count="6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\ &quot;€&quot;"/>
    <numFmt numFmtId="174" formatCode="#,##0.0000\ &quot;€&quot;"/>
    <numFmt numFmtId="175" formatCode="_-* #,##0.00\ [$€-1]_-;\-* #,##0.00\ [$€-1]_-;_-* &quot;-&quot;??\ [$€-1]_-"/>
    <numFmt numFmtId="176" formatCode="#,##0.00\ [$€-1]"/>
    <numFmt numFmtId="177" formatCode="#,##0.0000\ [$€-1]"/>
    <numFmt numFmtId="178" formatCode="#,##0.0\ &quot;€&quot;"/>
    <numFmt numFmtId="179" formatCode="#,##0\ &quot;€&quot;"/>
    <numFmt numFmtId="180" formatCode="#,##0.0"/>
    <numFmt numFmtId="181" formatCode="#,##0.0\ &quot;€&quot;;[Red]\-#,##0.0\ &quot;€&quot;"/>
    <numFmt numFmtId="182" formatCode="#,##0.0000\ &quot;€&quot;;[Red]\-#,##0.0000\ &quot;€&quot;"/>
    <numFmt numFmtId="183" formatCode="&quot;True&quot;;&quot;True&quot;;&quot;False&quot;"/>
    <numFmt numFmtId="184" formatCode="&quot;On&quot;;&quot;On&quot;;&quot;Off&quot;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\ &quot;€&quot;;[Red]\-#,##0.000\ &quot;€&quot;"/>
    <numFmt numFmtId="193" formatCode="#,##0.000\ &quot;€&quot;"/>
    <numFmt numFmtId="194" formatCode="0.0"/>
    <numFmt numFmtId="195" formatCode="0.000"/>
    <numFmt numFmtId="196" formatCode="0.00000"/>
    <numFmt numFmtId="197" formatCode="0.0000"/>
    <numFmt numFmtId="198" formatCode="0.0000000"/>
    <numFmt numFmtId="199" formatCode="0.000000"/>
    <numFmt numFmtId="200" formatCode="0.00000000"/>
    <numFmt numFmtId="201" formatCode="0.0000000000"/>
    <numFmt numFmtId="202" formatCode="0.000%"/>
    <numFmt numFmtId="203" formatCode="0.0000%"/>
    <numFmt numFmtId="204" formatCode="#,##0.00000\ &quot;€&quot;"/>
    <numFmt numFmtId="205" formatCode="#,##0.000\ [$€-1]"/>
    <numFmt numFmtId="206" formatCode="#,##0.0\ [$€-1]"/>
    <numFmt numFmtId="207" formatCode="#,##0\ [$€-1]"/>
    <numFmt numFmtId="208" formatCode="#,##0.00000\ [$€-1]"/>
    <numFmt numFmtId="209" formatCode="#,##0.00000\ &quot;€&quot;;[Red]\-#,##0.00000\ &quot;€&quot;"/>
    <numFmt numFmtId="210" formatCode="0.00000%"/>
    <numFmt numFmtId="211" formatCode="#,##0.000000\ &quot;€&quot;"/>
    <numFmt numFmtId="212" formatCode="#,##0\ [$€-1];[Red]\-#,##0\ [$€-1]"/>
    <numFmt numFmtId="213" formatCode="#,##0.0000\ [$€-1];[Red]\-#,##0.0000\ [$€-1]"/>
    <numFmt numFmtId="214" formatCode="#,##0.00\ _S_I_T"/>
    <numFmt numFmtId="215" formatCode="#,##0.000000\ &quot;€&quot;;[Red]\-#,##0.000000\ &quot;€&quot;"/>
  </numFmts>
  <fonts count="47">
    <font>
      <sz val="10"/>
      <name val="Arial CE"/>
      <family val="0"/>
    </font>
    <font>
      <u val="single"/>
      <sz val="10"/>
      <color indexed="12"/>
      <name val="Times New Roman CE"/>
      <family val="0"/>
    </font>
    <font>
      <sz val="10"/>
      <color indexed="8"/>
      <name val="MS Sans Serif"/>
      <family val="0"/>
    </font>
    <font>
      <u val="single"/>
      <sz val="10"/>
      <color indexed="36"/>
      <name val="Times New Roman CE"/>
      <family val="0"/>
    </font>
    <font>
      <sz val="8"/>
      <name val="Arial CE"/>
      <family val="0"/>
    </font>
    <font>
      <b/>
      <sz val="18"/>
      <color indexed="10"/>
      <name val="Arial"/>
      <family val="2"/>
    </font>
    <font>
      <sz val="18"/>
      <color indexed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6"/>
      <color indexed="10"/>
      <name val="Arial"/>
      <family val="0"/>
    </font>
    <font>
      <b/>
      <sz val="10"/>
      <color indexed="10"/>
      <name val="Arial"/>
      <family val="2"/>
    </font>
    <font>
      <i/>
      <sz val="11"/>
      <color indexed="62"/>
      <name val="Arial CE"/>
      <family val="0"/>
    </font>
    <font>
      <b/>
      <sz val="12"/>
      <color indexed="10"/>
      <name val="Arial CE"/>
      <family val="0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5"/>
      <name val="Arial Narrow"/>
      <family val="2"/>
    </font>
    <font>
      <b/>
      <sz val="10"/>
      <color indexed="15"/>
      <name val="Arial Narrow"/>
      <family val="2"/>
    </font>
    <font>
      <sz val="10"/>
      <color indexed="10"/>
      <name val="Arial Narrow"/>
      <family val="2"/>
    </font>
    <font>
      <sz val="10"/>
      <color indexed="22"/>
      <name val="Arial Narrow"/>
      <family val="2"/>
    </font>
    <font>
      <b/>
      <sz val="10"/>
      <color indexed="22"/>
      <name val="Arial Narrow"/>
      <family val="2"/>
    </font>
    <font>
      <sz val="10"/>
      <color indexed="42"/>
      <name val="Arial Narrow"/>
      <family val="2"/>
    </font>
    <font>
      <i/>
      <sz val="10"/>
      <name val="Arial Narrow"/>
      <family val="2"/>
    </font>
    <font>
      <b/>
      <sz val="10"/>
      <color indexed="42"/>
      <name val="Arial Narrow"/>
      <family val="2"/>
    </font>
    <font>
      <b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8"/>
      <name val="Arial"/>
      <family val="2"/>
    </font>
    <font>
      <b/>
      <sz val="14"/>
      <color indexed="12"/>
      <name val="Arial Narrow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 CE"/>
      <family val="0"/>
    </font>
    <font>
      <b/>
      <sz val="10"/>
      <color indexed="12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i/>
      <sz val="10"/>
      <color indexed="17"/>
      <name val="Arial CE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207" fontId="8" fillId="2" borderId="4" xfId="0" applyNumberFormat="1" applyFont="1" applyFill="1" applyBorder="1" applyAlignment="1">
      <alignment/>
    </xf>
    <xf numFmtId="207" fontId="8" fillId="3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207" fontId="0" fillId="2" borderId="5" xfId="0" applyNumberFormat="1" applyFill="1" applyBorder="1" applyAlignment="1">
      <alignment/>
    </xf>
    <xf numFmtId="207" fontId="0" fillId="3" borderId="5" xfId="0" applyNumberFormat="1" applyFill="1" applyBorder="1" applyAlignment="1">
      <alignment/>
    </xf>
    <xf numFmtId="0" fontId="0" fillId="0" borderId="5" xfId="0" applyBorder="1" applyAlignment="1">
      <alignment horizontal="right"/>
    </xf>
    <xf numFmtId="207" fontId="0" fillId="2" borderId="5" xfId="0" applyNumberFormat="1" applyFill="1" applyBorder="1" applyAlignment="1">
      <alignment horizontal="right"/>
    </xf>
    <xf numFmtId="207" fontId="0" fillId="3" borderId="5" xfId="0" applyNumberFormat="1" applyFill="1" applyBorder="1" applyAlignment="1">
      <alignment horizontal="right"/>
    </xf>
    <xf numFmtId="0" fontId="8" fillId="0" borderId="5" xfId="0" applyFont="1" applyBorder="1" applyAlignment="1">
      <alignment/>
    </xf>
    <xf numFmtId="207" fontId="8" fillId="2" borderId="5" xfId="0" applyNumberFormat="1" applyFont="1" applyFill="1" applyBorder="1" applyAlignment="1">
      <alignment/>
    </xf>
    <xf numFmtId="207" fontId="8" fillId="3" borderId="5" xfId="0" applyNumberFormat="1" applyFont="1" applyFill="1" applyBorder="1" applyAlignment="1">
      <alignment/>
    </xf>
    <xf numFmtId="207" fontId="8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left" indent="3"/>
    </xf>
    <xf numFmtId="207" fontId="0" fillId="2" borderId="5" xfId="0" applyNumberFormat="1" applyFill="1" applyBorder="1" applyAlignment="1">
      <alignment/>
    </xf>
    <xf numFmtId="207" fontId="0" fillId="3" borderId="5" xfId="0" applyNumberFormat="1" applyFill="1" applyBorder="1" applyAlignment="1">
      <alignment/>
    </xf>
    <xf numFmtId="207" fontId="8" fillId="2" borderId="5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176" fontId="9" fillId="2" borderId="5" xfId="0" applyNumberFormat="1" applyFont="1" applyFill="1" applyBorder="1" applyAlignment="1">
      <alignment/>
    </xf>
    <xf numFmtId="176" fontId="9" fillId="3" borderId="5" xfId="0" applyNumberFormat="1" applyFont="1" applyFill="1" applyBorder="1" applyAlignment="1">
      <alignment/>
    </xf>
    <xf numFmtId="212" fontId="8" fillId="3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3" borderId="5" xfId="0" applyNumberFormat="1" applyFont="1" applyFill="1" applyBorder="1" applyAlignment="1">
      <alignment/>
    </xf>
    <xf numFmtId="177" fontId="9" fillId="2" borderId="5" xfId="0" applyNumberFormat="1" applyFont="1" applyFill="1" applyBorder="1" applyAlignment="1">
      <alignment/>
    </xf>
    <xf numFmtId="177" fontId="9" fillId="3" borderId="5" xfId="0" applyNumberFormat="1" applyFont="1" applyFill="1" applyBorder="1" applyAlignment="1">
      <alignment/>
    </xf>
    <xf numFmtId="177" fontId="0" fillId="3" borderId="5" xfId="0" applyNumberFormat="1" applyFill="1" applyBorder="1" applyAlignment="1">
      <alignment/>
    </xf>
    <xf numFmtId="0" fontId="0" fillId="0" borderId="6" xfId="0" applyBorder="1" applyAlignment="1">
      <alignment horizontal="right"/>
    </xf>
    <xf numFmtId="182" fontId="0" fillId="2" borderId="6" xfId="0" applyNumberFormat="1" applyFill="1" applyBorder="1" applyAlignment="1">
      <alignment/>
    </xf>
    <xf numFmtId="182" fontId="0" fillId="3" borderId="6" xfId="0" applyNumberFormat="1" applyFill="1" applyBorder="1" applyAlignment="1">
      <alignment/>
    </xf>
    <xf numFmtId="182" fontId="0" fillId="3" borderId="6" xfId="0" applyNumberFormat="1" applyFill="1" applyBorder="1" applyAlignment="1">
      <alignment/>
    </xf>
    <xf numFmtId="0" fontId="10" fillId="0" borderId="4" xfId="0" applyFont="1" applyBorder="1" applyAlignment="1">
      <alignment vertical="distributed"/>
    </xf>
    <xf numFmtId="182" fontId="10" fillId="2" borderId="4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>
      <alignment/>
    </xf>
    <xf numFmtId="182" fontId="8" fillId="3" borderId="4" xfId="0" applyNumberFormat="1" applyFont="1" applyFill="1" applyBorder="1" applyAlignment="1">
      <alignment vertical="center"/>
    </xf>
    <xf numFmtId="182" fontId="0" fillId="2" borderId="5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horizontal="right" vertical="center"/>
    </xf>
    <xf numFmtId="182" fontId="0" fillId="3" borderId="5" xfId="0" applyNumberFormat="1" applyFill="1" applyBorder="1" applyAlignment="1">
      <alignment vertical="center"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/>
    </xf>
    <xf numFmtId="176" fontId="8" fillId="4" borderId="4" xfId="0" applyNumberFormat="1" applyFont="1" applyFill="1" applyBorder="1" applyAlignment="1">
      <alignment/>
    </xf>
    <xf numFmtId="212" fontId="8" fillId="4" borderId="4" xfId="0" applyNumberFormat="1" applyFon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4" borderId="5" xfId="0" applyNumberFormat="1" applyFill="1" applyBorder="1" applyAlignment="1">
      <alignment/>
    </xf>
    <xf numFmtId="212" fontId="0" fillId="4" borderId="5" xfId="0" applyNumberFormat="1" applyFill="1" applyBorder="1" applyAlignment="1">
      <alignment/>
    </xf>
    <xf numFmtId="176" fontId="0" fillId="2" borderId="5" xfId="0" applyNumberFormat="1" applyFill="1" applyBorder="1" applyAlignment="1">
      <alignment horizontal="right"/>
    </xf>
    <xf numFmtId="176" fontId="0" fillId="4" borderId="5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/>
    </xf>
    <xf numFmtId="176" fontId="8" fillId="2" borderId="5" xfId="0" applyNumberFormat="1" applyFont="1" applyFill="1" applyBorder="1" applyAlignment="1">
      <alignment/>
    </xf>
    <xf numFmtId="176" fontId="8" fillId="4" borderId="5" xfId="0" applyNumberFormat="1" applyFont="1" applyFill="1" applyBorder="1" applyAlignment="1">
      <alignment/>
    </xf>
    <xf numFmtId="212" fontId="8" fillId="4" borderId="5" xfId="0" applyNumberFormat="1" applyFont="1" applyFill="1" applyBorder="1" applyAlignment="1">
      <alignment/>
    </xf>
    <xf numFmtId="176" fontId="0" fillId="4" borderId="5" xfId="0" applyNumberFormat="1" applyFill="1" applyBorder="1" applyAlignment="1">
      <alignment/>
    </xf>
    <xf numFmtId="176" fontId="8" fillId="4" borderId="5" xfId="0" applyNumberFormat="1" applyFont="1" applyFill="1" applyBorder="1" applyAlignment="1">
      <alignment/>
    </xf>
    <xf numFmtId="176" fontId="9" fillId="4" borderId="5" xfId="0" applyNumberFormat="1" applyFont="1" applyFill="1" applyBorder="1" applyAlignment="1">
      <alignment/>
    </xf>
    <xf numFmtId="3" fontId="8" fillId="4" borderId="5" xfId="0" applyNumberFormat="1" applyFont="1" applyFill="1" applyBorder="1" applyAlignment="1">
      <alignment/>
    </xf>
    <xf numFmtId="182" fontId="9" fillId="2" borderId="5" xfId="0" applyNumberFormat="1" applyFont="1" applyFill="1" applyBorder="1" applyAlignment="1">
      <alignment/>
    </xf>
    <xf numFmtId="182" fontId="9" fillId="4" borderId="5" xfId="0" applyNumberFormat="1" applyFont="1" applyFill="1" applyBorder="1" applyAlignment="1">
      <alignment/>
    </xf>
    <xf numFmtId="182" fontId="0" fillId="4" borderId="5" xfId="0" applyNumberFormat="1" applyFill="1" applyBorder="1" applyAlignment="1">
      <alignment/>
    </xf>
    <xf numFmtId="182" fontId="0" fillId="4" borderId="6" xfId="0" applyNumberFormat="1" applyFill="1" applyBorder="1" applyAlignment="1">
      <alignment/>
    </xf>
    <xf numFmtId="182" fontId="0" fillId="4" borderId="6" xfId="0" applyNumberFormat="1" applyFill="1" applyBorder="1" applyAlignment="1">
      <alignment/>
    </xf>
    <xf numFmtId="182" fontId="10" fillId="2" borderId="4" xfId="0" applyNumberFormat="1" applyFont="1" applyFill="1" applyBorder="1" applyAlignment="1">
      <alignment vertical="distributed"/>
    </xf>
    <xf numFmtId="182" fontId="10" fillId="0" borderId="4" xfId="0" applyNumberFormat="1" applyFont="1" applyFill="1" applyBorder="1" applyAlignment="1">
      <alignment vertical="distributed"/>
    </xf>
    <xf numFmtId="182" fontId="8" fillId="4" borderId="4" xfId="0" applyNumberFormat="1" applyFont="1" applyFill="1" applyBorder="1" applyAlignment="1">
      <alignment/>
    </xf>
    <xf numFmtId="182" fontId="0" fillId="2" borderId="5" xfId="0" applyNumberFormat="1" applyFill="1" applyBorder="1" applyAlignment="1">
      <alignment/>
    </xf>
    <xf numFmtId="182" fontId="0" fillId="0" borderId="5" xfId="0" applyNumberForma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212" fontId="8" fillId="2" borderId="4" xfId="0" applyNumberFormat="1" applyFont="1" applyFill="1" applyBorder="1" applyAlignment="1">
      <alignment/>
    </xf>
    <xf numFmtId="212" fontId="8" fillId="5" borderId="4" xfId="0" applyNumberFormat="1" applyFont="1" applyFill="1" applyBorder="1" applyAlignment="1">
      <alignment/>
    </xf>
    <xf numFmtId="212" fontId="13" fillId="5" borderId="4" xfId="0" applyNumberFormat="1" applyFont="1" applyFill="1" applyBorder="1" applyAlignment="1">
      <alignment/>
    </xf>
    <xf numFmtId="212" fontId="8" fillId="5" borderId="5" xfId="0" applyNumberFormat="1" applyFont="1" applyFill="1" applyBorder="1" applyAlignment="1">
      <alignment/>
    </xf>
    <xf numFmtId="212" fontId="0" fillId="5" borderId="5" xfId="0" applyNumberFormat="1" applyFill="1" applyBorder="1" applyAlignment="1">
      <alignment/>
    </xf>
    <xf numFmtId="0" fontId="8" fillId="4" borderId="5" xfId="0" applyFont="1" applyFill="1" applyBorder="1" applyAlignment="1">
      <alignment vertical="distributed"/>
    </xf>
    <xf numFmtId="0" fontId="8" fillId="0" borderId="5" xfId="0" applyFont="1" applyBorder="1" applyAlignment="1">
      <alignment vertical="distributed"/>
    </xf>
    <xf numFmtId="4" fontId="8" fillId="2" borderId="4" xfId="0" applyNumberFormat="1" applyFont="1" applyFill="1" applyBorder="1" applyAlignment="1">
      <alignment/>
    </xf>
    <xf numFmtId="4" fontId="8" fillId="5" borderId="4" xfId="0" applyNumberFormat="1" applyFont="1" applyFill="1" applyBorder="1" applyAlignment="1">
      <alignment/>
    </xf>
    <xf numFmtId="4" fontId="0" fillId="5" borderId="5" xfId="0" applyNumberFormat="1" applyFill="1" applyBorder="1" applyAlignment="1">
      <alignment/>
    </xf>
    <xf numFmtId="182" fontId="8" fillId="2" borderId="4" xfId="0" applyNumberFormat="1" applyFont="1" applyFill="1" applyBorder="1" applyAlignment="1">
      <alignment/>
    </xf>
    <xf numFmtId="182" fontId="8" fillId="5" borderId="4" xfId="0" applyNumberFormat="1" applyFont="1" applyFill="1" applyBorder="1" applyAlignment="1">
      <alignment/>
    </xf>
    <xf numFmtId="182" fontId="0" fillId="5" borderId="5" xfId="0" applyNumberFormat="1" applyFill="1" applyBorder="1" applyAlignment="1">
      <alignment/>
    </xf>
    <xf numFmtId="182" fontId="8" fillId="0" borderId="4" xfId="0" applyNumberFormat="1" applyFont="1" applyFill="1" applyBorder="1" applyAlignment="1">
      <alignment/>
    </xf>
    <xf numFmtId="182" fontId="0" fillId="0" borderId="5" xfId="0" applyNumberFormat="1" applyFill="1" applyBorder="1" applyAlignment="1">
      <alignment/>
    </xf>
    <xf numFmtId="0" fontId="1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176" fontId="7" fillId="6" borderId="0" xfId="0" applyNumberFormat="1" applyFont="1" applyFill="1" applyAlignment="1">
      <alignment/>
    </xf>
    <xf numFmtId="176" fontId="18" fillId="6" borderId="0" xfId="0" applyNumberFormat="1" applyFont="1" applyFill="1" applyAlignment="1">
      <alignment/>
    </xf>
    <xf numFmtId="3" fontId="7" fillId="6" borderId="0" xfId="0" applyNumberFormat="1" applyFont="1" applyFill="1" applyAlignment="1">
      <alignment/>
    </xf>
    <xf numFmtId="3" fontId="18" fillId="6" borderId="0" xfId="0" applyNumberFormat="1" applyFont="1" applyFill="1" applyAlignment="1">
      <alignment/>
    </xf>
    <xf numFmtId="0" fontId="16" fillId="6" borderId="0" xfId="0" applyFont="1" applyFill="1" applyAlignment="1">
      <alignment/>
    </xf>
    <xf numFmtId="182" fontId="16" fillId="6" borderId="0" xfId="0" applyNumberFormat="1" applyFont="1" applyFill="1" applyAlignment="1">
      <alignment/>
    </xf>
    <xf numFmtId="182" fontId="19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20" fillId="6" borderId="0" xfId="0" applyFont="1" applyFill="1" applyAlignment="1">
      <alignment horizontal="center"/>
    </xf>
    <xf numFmtId="182" fontId="20" fillId="6" borderId="0" xfId="0" applyNumberFormat="1" applyFont="1" applyFill="1" applyAlignment="1">
      <alignment/>
    </xf>
    <xf numFmtId="182" fontId="18" fillId="6" borderId="0" xfId="0" applyNumberFormat="1" applyFont="1" applyFill="1" applyAlignment="1">
      <alignment/>
    </xf>
    <xf numFmtId="167" fontId="7" fillId="6" borderId="0" xfId="0" applyNumberFormat="1" applyFont="1" applyFill="1" applyAlignment="1">
      <alignment/>
    </xf>
    <xf numFmtId="167" fontId="18" fillId="6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176" fontId="7" fillId="4" borderId="0" xfId="0" applyNumberFormat="1" applyFont="1" applyFill="1" applyAlignment="1">
      <alignment/>
    </xf>
    <xf numFmtId="176" fontId="21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21" fillId="4" borderId="0" xfId="0" applyNumberFormat="1" applyFont="1" applyFill="1" applyAlignment="1">
      <alignment/>
    </xf>
    <xf numFmtId="0" fontId="16" fillId="4" borderId="0" xfId="0" applyFont="1" applyFill="1" applyAlignment="1">
      <alignment/>
    </xf>
    <xf numFmtId="182" fontId="16" fillId="4" borderId="0" xfId="0" applyNumberFormat="1" applyFont="1" applyFill="1" applyAlignment="1">
      <alignment/>
    </xf>
    <xf numFmtId="182" fontId="22" fillId="4" borderId="0" xfId="0" applyNumberFormat="1" applyFont="1" applyFill="1" applyAlignment="1">
      <alignment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center"/>
    </xf>
    <xf numFmtId="182" fontId="20" fillId="4" borderId="0" xfId="0" applyNumberFormat="1" applyFont="1" applyFill="1" applyAlignment="1">
      <alignment/>
    </xf>
    <xf numFmtId="182" fontId="21" fillId="4" borderId="0" xfId="0" applyNumberFormat="1" applyFont="1" applyFill="1" applyAlignment="1">
      <alignment/>
    </xf>
    <xf numFmtId="167" fontId="7" fillId="4" borderId="0" xfId="0" applyNumberFormat="1" applyFont="1" applyFill="1" applyAlignment="1">
      <alignment/>
    </xf>
    <xf numFmtId="167" fontId="21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176" fontId="7" fillId="5" borderId="0" xfId="0" applyNumberFormat="1" applyFont="1" applyFill="1" applyAlignment="1">
      <alignment/>
    </xf>
    <xf numFmtId="176" fontId="23" fillId="5" borderId="0" xfId="0" applyNumberFormat="1" applyFont="1" applyFill="1" applyAlignment="1">
      <alignment/>
    </xf>
    <xf numFmtId="0" fontId="24" fillId="5" borderId="0" xfId="0" applyFont="1" applyFill="1" applyAlignment="1">
      <alignment horizontal="right"/>
    </xf>
    <xf numFmtId="4" fontId="7" fillId="5" borderId="0" xfId="0" applyNumberFormat="1" applyFont="1" applyFill="1" applyAlignment="1">
      <alignment/>
    </xf>
    <xf numFmtId="4" fontId="23" fillId="5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3" fontId="23" fillId="5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182" fontId="16" fillId="5" borderId="0" xfId="0" applyNumberFormat="1" applyFont="1" applyFill="1" applyAlignment="1">
      <alignment/>
    </xf>
    <xf numFmtId="182" fontId="25" fillId="5" borderId="0" xfId="0" applyNumberFormat="1" applyFont="1" applyFill="1" applyAlignment="1">
      <alignment/>
    </xf>
    <xf numFmtId="0" fontId="26" fillId="5" borderId="0" xfId="0" applyFont="1" applyFill="1" applyAlignment="1">
      <alignment/>
    </xf>
    <xf numFmtId="0" fontId="20" fillId="5" borderId="0" xfId="0" applyFont="1" applyFill="1" applyAlignment="1">
      <alignment horizontal="center"/>
    </xf>
    <xf numFmtId="182" fontId="20" fillId="5" borderId="0" xfId="0" applyNumberFormat="1" applyFont="1" applyFill="1" applyAlignment="1">
      <alignment/>
    </xf>
    <xf numFmtId="182" fontId="23" fillId="5" borderId="0" xfId="0" applyNumberFormat="1" applyFont="1" applyFill="1" applyAlignment="1">
      <alignment/>
    </xf>
    <xf numFmtId="0" fontId="27" fillId="5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8" fillId="3" borderId="0" xfId="0" applyFont="1" applyFill="1" applyAlignment="1">
      <alignment/>
    </xf>
    <xf numFmtId="167" fontId="28" fillId="3" borderId="0" xfId="0" applyNumberFormat="1" applyFont="1" applyFill="1" applyAlignment="1">
      <alignment/>
    </xf>
    <xf numFmtId="167" fontId="28" fillId="3" borderId="9" xfId="0" applyNumberFormat="1" applyFont="1" applyFill="1" applyBorder="1" applyAlignment="1">
      <alignment/>
    </xf>
    <xf numFmtId="167" fontId="28" fillId="6" borderId="0" xfId="0" applyNumberFormat="1" applyFont="1" applyFill="1" applyAlignment="1">
      <alignment/>
    </xf>
    <xf numFmtId="0" fontId="29" fillId="3" borderId="0" xfId="0" applyFont="1" applyFill="1" applyBorder="1" applyAlignment="1">
      <alignment horizontal="right"/>
    </xf>
    <xf numFmtId="182" fontId="30" fillId="3" borderId="0" xfId="0" applyNumberFormat="1" applyFont="1" applyFill="1" applyBorder="1" applyAlignment="1">
      <alignment/>
    </xf>
    <xf numFmtId="182" fontId="30" fillId="3" borderId="9" xfId="0" applyNumberFormat="1" applyFont="1" applyFill="1" applyBorder="1" applyAlignment="1">
      <alignment/>
    </xf>
    <xf numFmtId="182" fontId="30" fillId="6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0" fontId="28" fillId="3" borderId="0" xfId="19" applyNumberFormat="1" applyFont="1" applyFill="1" applyAlignment="1">
      <alignment/>
    </xf>
    <xf numFmtId="10" fontId="28" fillId="3" borderId="9" xfId="19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6" borderId="0" xfId="0" applyFill="1" applyAlignment="1">
      <alignment/>
    </xf>
    <xf numFmtId="186" fontId="30" fillId="3" borderId="0" xfId="0" applyNumberFormat="1" applyFont="1" applyFill="1" applyBorder="1" applyAlignment="1">
      <alignment/>
    </xf>
    <xf numFmtId="186" fontId="30" fillId="3" borderId="9" xfId="0" applyNumberFormat="1" applyFont="1" applyFill="1" applyBorder="1" applyAlignment="1">
      <alignment/>
    </xf>
    <xf numFmtId="186" fontId="30" fillId="3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center" vertical="center"/>
    </xf>
    <xf numFmtId="182" fontId="26" fillId="0" borderId="0" xfId="0" applyNumberFormat="1" applyFont="1" applyAlignment="1">
      <alignment/>
    </xf>
    <xf numFmtId="176" fontId="31" fillId="7" borderId="7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right"/>
    </xf>
    <xf numFmtId="167" fontId="7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7" fillId="8" borderId="0" xfId="0" applyFont="1" applyFill="1" applyAlignment="1">
      <alignment horizontal="center"/>
    </xf>
    <xf numFmtId="0" fontId="7" fillId="8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177" fontId="0" fillId="4" borderId="0" xfId="0" applyNumberFormat="1" applyFill="1" applyBorder="1" applyAlignment="1">
      <alignment horizontal="center" wrapText="1"/>
    </xf>
    <xf numFmtId="176" fontId="31" fillId="0" borderId="0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/>
    </xf>
    <xf numFmtId="177" fontId="0" fillId="5" borderId="0" xfId="0" applyNumberFormat="1" applyFill="1" applyBorder="1" applyAlignment="1">
      <alignment wrapText="1"/>
    </xf>
    <xf numFmtId="177" fontId="0" fillId="5" borderId="0" xfId="0" applyNumberFormat="1" applyFont="1" applyFill="1" applyBorder="1" applyAlignment="1">
      <alignment wrapText="1"/>
    </xf>
    <xf numFmtId="207" fontId="0" fillId="5" borderId="0" xfId="0" applyNumberFormat="1" applyFill="1" applyBorder="1" applyAlignment="1">
      <alignment wrapText="1"/>
    </xf>
    <xf numFmtId="0" fontId="26" fillId="5" borderId="0" xfId="0" applyFont="1" applyFill="1" applyBorder="1" applyAlignment="1">
      <alignment/>
    </xf>
    <xf numFmtId="176" fontId="34" fillId="5" borderId="0" xfId="0" applyNumberFormat="1" applyFont="1" applyFill="1" applyBorder="1" applyAlignment="1">
      <alignment wrapText="1"/>
    </xf>
    <xf numFmtId="176" fontId="7" fillId="0" borderId="0" xfId="0" applyNumberFormat="1" applyFont="1" applyAlignment="1">
      <alignment/>
    </xf>
    <xf numFmtId="0" fontId="7" fillId="3" borderId="13" xfId="0" applyFont="1" applyFill="1" applyBorder="1" applyAlignment="1">
      <alignment/>
    </xf>
    <xf numFmtId="207" fontId="0" fillId="3" borderId="13" xfId="0" applyNumberFormat="1" applyFill="1" applyBorder="1" applyAlignment="1">
      <alignment wrapText="1"/>
    </xf>
    <xf numFmtId="177" fontId="0" fillId="3" borderId="13" xfId="0" applyNumberFormat="1" applyFill="1" applyBorder="1" applyAlignment="1">
      <alignment wrapText="1"/>
    </xf>
    <xf numFmtId="0" fontId="7" fillId="3" borderId="0" xfId="0" applyFont="1" applyFill="1" applyBorder="1" applyAlignment="1">
      <alignment/>
    </xf>
    <xf numFmtId="177" fontId="35" fillId="3" borderId="0" xfId="0" applyNumberFormat="1" applyFont="1" applyFill="1" applyBorder="1" applyAlignment="1">
      <alignment wrapText="1"/>
    </xf>
    <xf numFmtId="207" fontId="0" fillId="3" borderId="0" xfId="0" applyNumberFormat="1" applyFill="1" applyBorder="1" applyAlignment="1">
      <alignment wrapText="1"/>
    </xf>
    <xf numFmtId="0" fontId="3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176" fontId="34" fillId="3" borderId="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31" fillId="7" borderId="0" xfId="0" applyNumberFormat="1" applyFont="1" applyFill="1" applyBorder="1" applyAlignment="1">
      <alignment/>
    </xf>
    <xf numFmtId="0" fontId="7" fillId="7" borderId="16" xfId="0" applyFont="1" applyFill="1" applyBorder="1" applyAlignment="1">
      <alignment horizontal="center"/>
    </xf>
    <xf numFmtId="2" fontId="7" fillId="7" borderId="17" xfId="0" applyNumberFormat="1" applyFont="1" applyFill="1" applyBorder="1" applyAlignment="1">
      <alignment horizontal="center"/>
    </xf>
    <xf numFmtId="176" fontId="0" fillId="5" borderId="0" xfId="0" applyNumberFormat="1" applyFill="1" applyBorder="1" applyAlignment="1">
      <alignment wrapText="1"/>
    </xf>
    <xf numFmtId="176" fontId="34" fillId="5" borderId="18" xfId="0" applyNumberFormat="1" applyFont="1" applyFill="1" applyBorder="1" applyAlignment="1">
      <alignment wrapText="1"/>
    </xf>
    <xf numFmtId="176" fontId="0" fillId="3" borderId="0" xfId="0" applyNumberFormat="1" applyFill="1" applyBorder="1" applyAlignment="1">
      <alignment wrapText="1"/>
    </xf>
    <xf numFmtId="176" fontId="0" fillId="3" borderId="0" xfId="0" applyNumberFormat="1" applyFont="1" applyFill="1" applyBorder="1" applyAlignment="1">
      <alignment wrapText="1"/>
    </xf>
    <xf numFmtId="176" fontId="37" fillId="3" borderId="0" xfId="0" applyNumberFormat="1" applyFont="1" applyFill="1" applyBorder="1" applyAlignment="1">
      <alignment wrapText="1"/>
    </xf>
    <xf numFmtId="0" fontId="7" fillId="9" borderId="0" xfId="0" applyFont="1" applyFill="1" applyAlignment="1">
      <alignment/>
    </xf>
    <xf numFmtId="0" fontId="33" fillId="9" borderId="0" xfId="0" applyFont="1" applyFill="1" applyAlignment="1">
      <alignment/>
    </xf>
    <xf numFmtId="176" fontId="33" fillId="9" borderId="0" xfId="0" applyNumberFormat="1" applyFont="1" applyFill="1" applyAlignment="1">
      <alignment/>
    </xf>
    <xf numFmtId="177" fontId="33" fillId="0" borderId="0" xfId="0" applyNumberFormat="1" applyFont="1" applyAlignment="1">
      <alignment/>
    </xf>
    <xf numFmtId="180" fontId="26" fillId="0" borderId="0" xfId="19" applyNumberFormat="1" applyFont="1" applyAlignment="1">
      <alignment/>
    </xf>
    <xf numFmtId="0" fontId="38" fillId="9" borderId="0" xfId="0" applyFont="1" applyFill="1" applyAlignment="1">
      <alignment/>
    </xf>
    <xf numFmtId="10" fontId="7" fillId="0" borderId="0" xfId="19" applyNumberFormat="1" applyFont="1" applyAlignment="1">
      <alignment/>
    </xf>
    <xf numFmtId="177" fontId="7" fillId="0" borderId="0" xfId="0" applyNumberFormat="1" applyFont="1" applyAlignment="1">
      <alignment/>
    </xf>
    <xf numFmtId="0" fontId="7" fillId="0" borderId="19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/>
    </xf>
    <xf numFmtId="2" fontId="8" fillId="5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0" fontId="26" fillId="5" borderId="18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207" fontId="8" fillId="3" borderId="0" xfId="0" applyNumberFormat="1" applyFont="1" applyFill="1" applyBorder="1" applyAlignment="1">
      <alignment horizontal="center" vertical="center" wrapText="1"/>
    </xf>
    <xf numFmtId="182" fontId="7" fillId="5" borderId="0" xfId="0" applyNumberFormat="1" applyFont="1" applyFill="1" applyAlignment="1">
      <alignment/>
    </xf>
    <xf numFmtId="177" fontId="4" fillId="7" borderId="0" xfId="0" applyNumberFormat="1" applyFont="1" applyFill="1" applyBorder="1" applyAlignment="1">
      <alignment horizontal="center" wrapText="1"/>
    </xf>
    <xf numFmtId="0" fontId="33" fillId="3" borderId="13" xfId="0" applyFont="1" applyFill="1" applyBorder="1" applyAlignment="1">
      <alignment horizontal="distributed" vertical="center" textRotation="90"/>
    </xf>
    <xf numFmtId="0" fontId="33" fillId="3" borderId="0" xfId="0" applyFont="1" applyFill="1" applyBorder="1" applyAlignment="1">
      <alignment horizontal="distributed" vertical="center" textRotation="90"/>
    </xf>
    <xf numFmtId="0" fontId="33" fillId="5" borderId="20" xfId="0" applyFont="1" applyFill="1" applyBorder="1" applyAlignment="1">
      <alignment horizontal="distributed" vertical="center" textRotation="90"/>
    </xf>
    <xf numFmtId="0" fontId="33" fillId="5" borderId="0" xfId="0" applyFont="1" applyFill="1" applyBorder="1" applyAlignment="1">
      <alignment horizontal="distributed" vertical="center" textRotation="90"/>
    </xf>
    <xf numFmtId="0" fontId="33" fillId="5" borderId="18" xfId="0" applyFont="1" applyFill="1" applyBorder="1" applyAlignment="1">
      <alignment horizontal="distributed" vertical="center" textRotation="90"/>
    </xf>
    <xf numFmtId="0" fontId="33" fillId="3" borderId="18" xfId="0" applyFont="1" applyFill="1" applyBorder="1" applyAlignment="1">
      <alignment horizontal="distributed" vertical="center" textRotation="90"/>
    </xf>
    <xf numFmtId="0" fontId="16" fillId="6" borderId="20" xfId="0" applyFont="1" applyFill="1" applyBorder="1" applyAlignment="1">
      <alignment horizontal="center" vertical="distributed" textRotation="90"/>
    </xf>
    <xf numFmtId="0" fontId="16" fillId="6" borderId="0" xfId="0" applyFont="1" applyFill="1" applyAlignment="1">
      <alignment horizontal="center" vertical="distributed" textRotation="90"/>
    </xf>
    <xf numFmtId="0" fontId="16" fillId="4" borderId="0" xfId="0" applyFont="1" applyFill="1" applyAlignment="1">
      <alignment horizontal="center" vertical="distributed" textRotation="90"/>
    </xf>
    <xf numFmtId="0" fontId="16" fillId="5" borderId="0" xfId="0" applyFont="1" applyFill="1" applyAlignment="1">
      <alignment horizontal="center" vertical="center" textRotation="90"/>
    </xf>
    <xf numFmtId="0" fontId="36" fillId="5" borderId="0" xfId="0" applyFont="1" applyFill="1" applyBorder="1" applyAlignment="1">
      <alignment horizontal="distributed" vertical="center" textRotation="90"/>
    </xf>
  </cellXfs>
  <cellStyles count="10">
    <cellStyle name="Normal" xfId="0"/>
    <cellStyle name="Euro" xfId="15"/>
    <cellStyle name="Hyperlink" xfId="16"/>
    <cellStyle name="Normal_Baza1_3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147</xdr:row>
      <xdr:rowOff>0</xdr:rowOff>
    </xdr:from>
    <xdr:to>
      <xdr:col>8</xdr:col>
      <xdr:colOff>771525</xdr:colOff>
      <xdr:row>147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20025" y="26698575"/>
          <a:ext cx="2409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4 čl. družina</a:t>
          </a:r>
        </a:p>
      </xdr:txBody>
    </xdr:sp>
    <xdr:clientData/>
  </xdr:twoCellAnchor>
  <xdr:twoCellAnchor>
    <xdr:from>
      <xdr:col>11</xdr:col>
      <xdr:colOff>57150</xdr:colOff>
      <xdr:row>147</xdr:row>
      <xdr:rowOff>0</xdr:rowOff>
    </xdr:from>
    <xdr:to>
      <xdr:col>13</xdr:col>
      <xdr:colOff>685800</xdr:colOff>
      <xdr:row>147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53950" y="26698575"/>
          <a:ext cx="22669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Okoljska dajatev, Iglarjeva:
leto 2008: 0,0174 EUR/kg;
leto 2009: 0,0137 EUR/kg</a:t>
          </a:r>
        </a:p>
      </xdr:txBody>
    </xdr:sp>
    <xdr:clientData/>
  </xdr:twoCellAnchor>
  <xdr:twoCellAnchor>
    <xdr:from>
      <xdr:col>5</xdr:col>
      <xdr:colOff>180975</xdr:colOff>
      <xdr:row>109</xdr:row>
      <xdr:rowOff>142875</xdr:rowOff>
    </xdr:from>
    <xdr:to>
      <xdr:col>8</xdr:col>
      <xdr:colOff>704850</xdr:colOff>
      <xdr:row>126</xdr:row>
      <xdr:rowOff>19050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686550" y="20554950"/>
          <a:ext cx="3476625" cy="26289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</a:t>
          </a:r>
          <a:r>
            <a:rPr lang="en-US" cap="none" sz="10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z kalk.stroškov po predlogu JP</a:t>
          </a:r>
          <a:r>
            <a:rPr lang="en-US" cap="none" sz="1000" b="0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(26/3/10 - 2..kolona) sem izračunal lastne cene za tri GJS (z in brez DDV).
Na osnovi teh sem izdelal simulacijo stroškov na položnici:
- za eno osebo v bloku Trg 10 (to ni položnica)
- za 4 osebe v  bloku Trg 10;
- za 4 osebe v ind.hiši, in za
- OŠ Franja Goloba na Prevaljah.
Skupni strošek upošteva tudi Občinske takse RR, ekološko rento za odškodnino in Finančno jamstvo (upoštevajte, da slednje niti približno no pravo).
Razen v Tab.3 je v ostalih treh upoštevan 8,5 % DDV (za vod.števec 20%). Primerjati je možno strošek s stanjem cen v decembru 2009 in bodoči strošek, ko bodo cene uveljavljene.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147</xdr:row>
      <xdr:rowOff>0</xdr:rowOff>
    </xdr:from>
    <xdr:to>
      <xdr:col>8</xdr:col>
      <xdr:colOff>771525</xdr:colOff>
      <xdr:row>147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82100" y="26536650"/>
          <a:ext cx="2200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4 čl. družina</a:t>
          </a:r>
        </a:p>
      </xdr:txBody>
    </xdr:sp>
    <xdr:clientData/>
  </xdr:twoCellAnchor>
  <xdr:twoCellAnchor>
    <xdr:from>
      <xdr:col>11</xdr:col>
      <xdr:colOff>57150</xdr:colOff>
      <xdr:row>147</xdr:row>
      <xdr:rowOff>0</xdr:rowOff>
    </xdr:from>
    <xdr:to>
      <xdr:col>13</xdr:col>
      <xdr:colOff>685800</xdr:colOff>
      <xdr:row>147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668375" y="26536650"/>
          <a:ext cx="15525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Okoljska dajatev, Iglarjeva:
leto 2008: 0,0174 EUR/kg;
leto 2009: 0,0137 EUR/kg</a:t>
          </a:r>
        </a:p>
      </xdr:txBody>
    </xdr:sp>
    <xdr:clientData/>
  </xdr:twoCellAnchor>
  <xdr:twoCellAnchor>
    <xdr:from>
      <xdr:col>1</xdr:col>
      <xdr:colOff>9525</xdr:colOff>
      <xdr:row>267</xdr:row>
      <xdr:rowOff>0</xdr:rowOff>
    </xdr:from>
    <xdr:to>
      <xdr:col>3</xdr:col>
      <xdr:colOff>104775</xdr:colOff>
      <xdr:row>280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38125" y="47644050"/>
          <a:ext cx="4371975" cy="2114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I</a:t>
          </a:r>
          <a:r>
            <a:rPr lang="en-US" cap="none" sz="1000" b="1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z kalk.stroškov po predlogu Občine Prevalje</a:t>
          </a:r>
          <a:r>
            <a:rPr lang="en-US" cap="none" sz="1000" b="0" i="1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 (3.kolona) sem izračunal lastne cene za tri GJS (z in brez DDV).
Na osnovi teh sem izdelal simulacijo stroškov na položnici:
- za eno osebo v bloku Trg 10 (to ni položnica)
- za 4 osebe v  bloku Trg 10;
- za 4 osebe v ind.hiši, in za
- OŠ Franja Goloba na Prevaljah.
Skupni strošek upošteva tudi Občinske takse RR, ekološko rento za odškodnino in Finančno jamstvo (upoštevajte, da slednje niti približno no pravo).
Razen v Tab.3 je v ostalih treh upoštevan 8,5 % DDV (za vod.števec 20%). Primerjati je možno strošek s stanjem cen v decembru 2009 in bodoči strošek, ko bodo cene uveljavljene.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zmenjava%20s%20slu&#382;bo\Izmenjava%20EXCEL\WinExcel\JKP%20LOG_EXC\Prodajne%20cene\VOKA,%20Komunalni%20odpadki%202009\Simulacija%20cen%20vo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usines\WinExcel\surce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zmenjava%20s%20slu&#382;bo\Izmenjava%20EXCEL\WinExcel\JKP%20LOG_EXC\Prodajne%20cene\VOKA,%20Komunalni%20odpadki%202009\Simulacije%20za%20razli&#269;ne%20volumne%20in%20gostote_e%20po&#353;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cija Ravne"/>
      <sheetName val="Simulacija Ravne (var)"/>
      <sheetName val="Simulacija Prevalje"/>
      <sheetName val="Simulacija Mežica"/>
      <sheetName val="dono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SKL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E3_aktualno (Epošt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tabColor indexed="10"/>
  </sheetPr>
  <dimension ref="B2:H270"/>
  <sheetViews>
    <sheetView tabSelected="1" view="pageBreakPreview" zoomScale="60" workbookViewId="0" topLeftCell="C67">
      <selection activeCell="I106" sqref="I106"/>
    </sheetView>
  </sheetViews>
  <sheetFormatPr defaultColWidth="9.00390625" defaultRowHeight="12.75" outlineLevelRow="1"/>
  <cols>
    <col min="1" max="1" width="0.37109375" style="3" hidden="1" customWidth="1"/>
    <col min="2" max="2" width="10.625" style="3" hidden="1" customWidth="1"/>
    <col min="3" max="3" width="46.875" style="3" customWidth="1"/>
    <col min="4" max="4" width="21.125" style="3" customWidth="1"/>
    <col min="5" max="5" width="17.375" style="3" customWidth="1"/>
    <col min="6" max="6" width="14.00390625" style="3" customWidth="1"/>
    <col min="7" max="9" width="12.375" style="3" customWidth="1"/>
    <col min="10" max="11" width="13.75390625" style="3" customWidth="1"/>
    <col min="12" max="15" width="10.75390625" style="3" customWidth="1"/>
    <col min="16" max="16384" width="9.125" style="3" customWidth="1"/>
  </cols>
  <sheetData>
    <row r="1" ht="12.75"/>
    <row r="2" spans="3:6" ht="24" thickBot="1">
      <c r="C2" s="1" t="s">
        <v>0</v>
      </c>
      <c r="D2" s="2"/>
      <c r="E2" s="2"/>
      <c r="F2"/>
    </row>
    <row r="3" spans="3:6" ht="39" outlineLevel="1" thickBot="1">
      <c r="C3" s="4" t="s">
        <v>1</v>
      </c>
      <c r="D3" s="5" t="s">
        <v>2</v>
      </c>
      <c r="E3" s="6" t="s">
        <v>3</v>
      </c>
      <c r="F3" s="7" t="s">
        <v>4</v>
      </c>
    </row>
    <row r="4" spans="3:6" ht="12.75" outlineLevel="1">
      <c r="C4" s="8" t="s">
        <v>5</v>
      </c>
      <c r="D4" s="9">
        <v>70776</v>
      </c>
      <c r="E4" s="10">
        <v>88750</v>
      </c>
      <c r="F4" s="10">
        <f>SUM(F5+F9)</f>
        <v>64890</v>
      </c>
    </row>
    <row r="5" spans="3:6" ht="12.75" outlineLevel="1">
      <c r="C5" s="11" t="s">
        <v>6</v>
      </c>
      <c r="D5" s="12">
        <v>19890</v>
      </c>
      <c r="E5" s="13">
        <v>12620</v>
      </c>
      <c r="F5" s="13">
        <f>SUM(F6:F8)</f>
        <v>12620</v>
      </c>
    </row>
    <row r="6" spans="3:6" ht="12.75" outlineLevel="1">
      <c r="C6" s="14" t="s">
        <v>7</v>
      </c>
      <c r="D6" s="15">
        <v>4268</v>
      </c>
      <c r="E6" s="16">
        <v>3780</v>
      </c>
      <c r="F6" s="13">
        <v>3780</v>
      </c>
    </row>
    <row r="7" spans="3:6" ht="12.75" outlineLevel="1">
      <c r="C7" s="14" t="s">
        <v>8</v>
      </c>
      <c r="D7" s="15">
        <v>0</v>
      </c>
      <c r="E7" s="16">
        <v>80</v>
      </c>
      <c r="F7" s="13">
        <v>80</v>
      </c>
    </row>
    <row r="8" spans="3:6" ht="12.75" outlineLevel="1">
      <c r="C8" s="14" t="s">
        <v>9</v>
      </c>
      <c r="D8" s="15">
        <v>15621</v>
      </c>
      <c r="E8" s="16">
        <v>8760</v>
      </c>
      <c r="F8" s="13">
        <v>8760</v>
      </c>
    </row>
    <row r="9" spans="3:6" ht="12.75" outlineLevel="1">
      <c r="C9" s="11" t="s">
        <v>10</v>
      </c>
      <c r="D9" s="12">
        <v>59886</v>
      </c>
      <c r="E9" s="13">
        <v>76130</v>
      </c>
      <c r="F9" s="13">
        <f>SUM(F10:F17)</f>
        <v>52270</v>
      </c>
    </row>
    <row r="10" spans="3:6" ht="12.75" outlineLevel="1">
      <c r="C10" s="14" t="s">
        <v>11</v>
      </c>
      <c r="D10" s="15">
        <v>12627</v>
      </c>
      <c r="E10" s="16">
        <v>18490</v>
      </c>
      <c r="F10" s="13">
        <v>8490</v>
      </c>
    </row>
    <row r="11" spans="3:6" ht="12.75" outlineLevel="1">
      <c r="C11" s="14" t="s">
        <v>12</v>
      </c>
      <c r="D11" s="15">
        <v>1624</v>
      </c>
      <c r="E11" s="16">
        <v>160</v>
      </c>
      <c r="F11" s="13">
        <v>160</v>
      </c>
    </row>
    <row r="12" spans="3:6" ht="12.75" outlineLevel="1">
      <c r="C12" s="14" t="s">
        <v>13</v>
      </c>
      <c r="D12" s="15">
        <v>5283</v>
      </c>
      <c r="E12" s="16">
        <v>6830</v>
      </c>
      <c r="F12" s="13">
        <v>6830</v>
      </c>
    </row>
    <row r="13" spans="3:6" ht="12.75" outlineLevel="1">
      <c r="C13" s="14" t="s">
        <v>14</v>
      </c>
      <c r="D13" s="15">
        <v>14158</v>
      </c>
      <c r="E13" s="16">
        <v>27500</v>
      </c>
      <c r="F13" s="13">
        <v>27500</v>
      </c>
    </row>
    <row r="14" spans="3:6" ht="12.75" outlineLevel="1">
      <c r="C14" s="14" t="s">
        <v>15</v>
      </c>
      <c r="D14" s="15">
        <v>3392</v>
      </c>
      <c r="E14" s="16">
        <v>1790</v>
      </c>
      <c r="F14" s="13">
        <v>1790</v>
      </c>
    </row>
    <row r="15" spans="3:6" ht="12.75" outlineLevel="1">
      <c r="C15" s="14" t="s">
        <v>16</v>
      </c>
      <c r="D15" s="15">
        <v>2217</v>
      </c>
      <c r="E15" s="16">
        <v>13860</v>
      </c>
      <c r="F15" s="13">
        <v>0</v>
      </c>
    </row>
    <row r="16" spans="3:6" ht="12.75" outlineLevel="1">
      <c r="C16" s="14" t="s">
        <v>17</v>
      </c>
      <c r="D16" s="15">
        <v>6388</v>
      </c>
      <c r="E16" s="16">
        <v>7190</v>
      </c>
      <c r="F16" s="13">
        <v>7190</v>
      </c>
    </row>
    <row r="17" spans="3:6" ht="12.75" outlineLevel="1">
      <c r="C17" s="14" t="s">
        <v>18</v>
      </c>
      <c r="D17" s="15">
        <v>5197</v>
      </c>
      <c r="E17" s="16">
        <v>310</v>
      </c>
      <c r="F17" s="13">
        <v>310</v>
      </c>
    </row>
    <row r="18" spans="3:6" ht="12.75" outlineLevel="1">
      <c r="C18" s="17" t="s">
        <v>19</v>
      </c>
      <c r="D18" s="18">
        <v>27880</v>
      </c>
      <c r="E18" s="19">
        <v>33410</v>
      </c>
      <c r="F18" s="20">
        <f>SUM(F19:F21)</f>
        <v>21910</v>
      </c>
    </row>
    <row r="19" spans="3:6" ht="12.75" outlineLevel="1">
      <c r="C19" s="21" t="s">
        <v>20</v>
      </c>
      <c r="D19" s="22">
        <v>1504</v>
      </c>
      <c r="E19" s="23">
        <v>1710</v>
      </c>
      <c r="F19" s="13">
        <v>1710</v>
      </c>
    </row>
    <row r="20" spans="3:6" ht="12.75" outlineLevel="1">
      <c r="C20" s="21" t="s">
        <v>21</v>
      </c>
      <c r="D20" s="22">
        <v>24119</v>
      </c>
      <c r="E20" s="23">
        <v>29130</v>
      </c>
      <c r="F20" s="13">
        <v>17630</v>
      </c>
    </row>
    <row r="21" spans="3:6" ht="12.75" outlineLevel="1">
      <c r="C21" s="21" t="s">
        <v>22</v>
      </c>
      <c r="D21" s="22">
        <v>2256</v>
      </c>
      <c r="E21" s="23">
        <v>2570</v>
      </c>
      <c r="F21" s="13">
        <v>2570</v>
      </c>
    </row>
    <row r="22" spans="3:6" ht="12.75" outlineLevel="1">
      <c r="C22" s="17" t="s">
        <v>23</v>
      </c>
      <c r="D22" s="24">
        <v>0</v>
      </c>
      <c r="E22" s="19">
        <v>0</v>
      </c>
      <c r="F22" s="13">
        <v>0</v>
      </c>
    </row>
    <row r="23" spans="3:6" ht="15.75" outlineLevel="1">
      <c r="C23" s="25" t="s">
        <v>24</v>
      </c>
      <c r="D23" s="26">
        <v>98655</v>
      </c>
      <c r="E23" s="27">
        <v>122160</v>
      </c>
      <c r="F23" s="28">
        <f>F4+F18+F22</f>
        <v>86800</v>
      </c>
    </row>
    <row r="24" spans="3:6" ht="12.75" outlineLevel="1">
      <c r="C24" s="17" t="s">
        <v>25</v>
      </c>
      <c r="D24" s="29">
        <v>334132</v>
      </c>
      <c r="E24" s="30">
        <v>331000</v>
      </c>
      <c r="F24" s="30">
        <v>331000</v>
      </c>
    </row>
    <row r="25" spans="3:6" ht="15.75" outlineLevel="1">
      <c r="C25" s="25" t="s">
        <v>26</v>
      </c>
      <c r="D25" s="31">
        <f>D23/D24</f>
        <v>0.2952575628793411</v>
      </c>
      <c r="E25" s="32">
        <f>E23/E24</f>
        <v>0.36906344410876135</v>
      </c>
      <c r="F25" s="33">
        <f>F23/F24</f>
        <v>0.2622356495468278</v>
      </c>
    </row>
    <row r="26" spans="3:6" ht="13.5" outlineLevel="1" thickBot="1">
      <c r="C26" s="34" t="s">
        <v>27</v>
      </c>
      <c r="D26" s="35">
        <f>D25*1.085</f>
        <v>0.32035445572408505</v>
      </c>
      <c r="E26" s="36">
        <f>E25*1.085</f>
        <v>0.40043383685800604</v>
      </c>
      <c r="F26" s="37">
        <f>F25*1.085</f>
        <v>0.28452567975830817</v>
      </c>
    </row>
    <row r="27" spans="3:6" ht="30.75" outlineLevel="1" thickTop="1">
      <c r="C27" s="38" t="s">
        <v>28</v>
      </c>
      <c r="D27" s="39">
        <v>1.9327</v>
      </c>
      <c r="E27" s="40"/>
      <c r="F27" s="41">
        <v>1.9327</v>
      </c>
    </row>
    <row r="28" spans="3:6" ht="12.75" outlineLevel="1">
      <c r="C28" s="14" t="s">
        <v>29</v>
      </c>
      <c r="D28" s="42">
        <v>2.097</v>
      </c>
      <c r="E28" s="43"/>
      <c r="F28" s="44">
        <v>2.097</v>
      </c>
    </row>
    <row r="29" ht="12.75"/>
    <row r="30" ht="12.75"/>
    <row r="31" spans="3:6" ht="24" thickBot="1">
      <c r="C31" s="1" t="s">
        <v>30</v>
      </c>
      <c r="D31" s="45"/>
      <c r="E31" s="45"/>
      <c r="F31"/>
    </row>
    <row r="32" spans="3:6" ht="39" outlineLevel="1" thickBot="1">
      <c r="C32" s="4" t="s">
        <v>1</v>
      </c>
      <c r="D32" s="46" t="s">
        <v>31</v>
      </c>
      <c r="E32" s="47" t="s">
        <v>32</v>
      </c>
      <c r="F32" s="47" t="s">
        <v>4</v>
      </c>
    </row>
    <row r="33" spans="3:6" ht="12.75" outlineLevel="1">
      <c r="C33" s="8" t="s">
        <v>5</v>
      </c>
      <c r="D33" s="48">
        <v>46885</v>
      </c>
      <c r="E33" s="49">
        <v>68320</v>
      </c>
      <c r="F33" s="50">
        <f>SUM(F34+F38+F51)</f>
        <v>49970</v>
      </c>
    </row>
    <row r="34" spans="3:6" ht="12.75" outlineLevel="1">
      <c r="C34" s="11" t="s">
        <v>6</v>
      </c>
      <c r="D34" s="51">
        <v>4827</v>
      </c>
      <c r="E34" s="52">
        <v>6290</v>
      </c>
      <c r="F34" s="53">
        <v>6290</v>
      </c>
    </row>
    <row r="35" spans="3:6" ht="12.75" outlineLevel="1">
      <c r="C35" s="14" t="s">
        <v>7</v>
      </c>
      <c r="D35" s="54">
        <v>3674</v>
      </c>
      <c r="E35" s="55">
        <v>1700</v>
      </c>
      <c r="F35" s="53">
        <v>1700</v>
      </c>
    </row>
    <row r="36" spans="3:6" ht="12.75" outlineLevel="1">
      <c r="C36" s="14" t="s">
        <v>8</v>
      </c>
      <c r="D36" s="54">
        <v>0</v>
      </c>
      <c r="E36" s="55">
        <v>2030</v>
      </c>
      <c r="F36" s="53">
        <v>2030</v>
      </c>
    </row>
    <row r="37" spans="3:6" ht="12.75" outlineLevel="1">
      <c r="C37" s="14" t="s">
        <v>9</v>
      </c>
      <c r="D37" s="54">
        <v>1152</v>
      </c>
      <c r="E37" s="55">
        <v>2560</v>
      </c>
      <c r="F37" s="53">
        <v>2560</v>
      </c>
    </row>
    <row r="38" spans="3:6" ht="12.75" outlineLevel="1">
      <c r="C38" s="11" t="s">
        <v>10</v>
      </c>
      <c r="D38" s="51">
        <v>42058</v>
      </c>
      <c r="E38" s="52">
        <v>62030</v>
      </c>
      <c r="F38" s="53">
        <f>SUM(F39:F46)</f>
        <v>43680</v>
      </c>
    </row>
    <row r="39" spans="3:6" ht="12.75" outlineLevel="1">
      <c r="C39" s="14" t="s">
        <v>11</v>
      </c>
      <c r="D39" s="54">
        <v>4059</v>
      </c>
      <c r="E39" s="55">
        <v>8650</v>
      </c>
      <c r="F39" s="53">
        <v>3650</v>
      </c>
    </row>
    <row r="40" spans="3:6" ht="12.75" outlineLevel="1">
      <c r="C40" s="14" t="s">
        <v>12</v>
      </c>
      <c r="D40" s="54">
        <v>1</v>
      </c>
      <c r="E40" s="55">
        <v>110</v>
      </c>
      <c r="F40" s="53">
        <v>110</v>
      </c>
    </row>
    <row r="41" spans="3:6" ht="12.75" outlineLevel="1">
      <c r="C41" s="14" t="s">
        <v>13</v>
      </c>
      <c r="D41" s="54">
        <v>3357</v>
      </c>
      <c r="E41" s="55">
        <v>4940</v>
      </c>
      <c r="F41" s="53">
        <v>4940</v>
      </c>
    </row>
    <row r="42" spans="3:6" ht="12.75" outlineLevel="1">
      <c r="C42" s="14" t="s">
        <v>14</v>
      </c>
      <c r="D42" s="54">
        <v>15161</v>
      </c>
      <c r="E42" s="55">
        <v>18280</v>
      </c>
      <c r="F42" s="53">
        <v>18280</v>
      </c>
    </row>
    <row r="43" spans="3:6" ht="12.75" outlineLevel="1">
      <c r="C43" s="14" t="s">
        <v>15</v>
      </c>
      <c r="D43" s="56">
        <v>7483</v>
      </c>
      <c r="E43" s="55">
        <v>6390</v>
      </c>
      <c r="F43" s="53">
        <v>6390</v>
      </c>
    </row>
    <row r="44" spans="3:6" ht="12.75" outlineLevel="1">
      <c r="C44" s="14" t="s">
        <v>16</v>
      </c>
      <c r="D44" s="56">
        <v>0</v>
      </c>
      <c r="E44" s="55">
        <v>13350</v>
      </c>
      <c r="F44" s="53">
        <v>0</v>
      </c>
    </row>
    <row r="45" spans="3:6" ht="12.75" outlineLevel="1">
      <c r="C45" s="14" t="s">
        <v>17</v>
      </c>
      <c r="D45" s="56">
        <v>7547</v>
      </c>
      <c r="E45" s="55">
        <v>10060</v>
      </c>
      <c r="F45" s="53">
        <v>10060</v>
      </c>
    </row>
    <row r="46" spans="3:6" ht="12.75" outlineLevel="1">
      <c r="C46" s="14" t="s">
        <v>18</v>
      </c>
      <c r="D46" s="56">
        <v>4451</v>
      </c>
      <c r="E46" s="55">
        <v>250</v>
      </c>
      <c r="F46" s="53">
        <v>250</v>
      </c>
    </row>
    <row r="47" spans="3:6" ht="12.75" outlineLevel="1">
      <c r="C47" s="17" t="s">
        <v>19</v>
      </c>
      <c r="D47" s="57">
        <v>16869</v>
      </c>
      <c r="E47" s="58">
        <v>24910</v>
      </c>
      <c r="F47" s="59">
        <f>SUM(F48:F50)</f>
        <v>14910</v>
      </c>
    </row>
    <row r="48" spans="3:6" ht="12.75" outlineLevel="1">
      <c r="C48" s="21" t="s">
        <v>20</v>
      </c>
      <c r="D48" s="56">
        <v>910</v>
      </c>
      <c r="E48" s="60">
        <v>1280</v>
      </c>
      <c r="F48" s="53">
        <v>1280</v>
      </c>
    </row>
    <row r="49" spans="3:6" ht="12.75" outlineLevel="1">
      <c r="C49" s="21" t="s">
        <v>21</v>
      </c>
      <c r="D49" s="56">
        <v>14594</v>
      </c>
      <c r="E49" s="60">
        <v>21710</v>
      </c>
      <c r="F49" s="53">
        <v>11710</v>
      </c>
    </row>
    <row r="50" spans="3:6" ht="12.75" outlineLevel="1">
      <c r="C50" s="21" t="s">
        <v>22</v>
      </c>
      <c r="D50" s="56">
        <v>1365</v>
      </c>
      <c r="E50" s="60">
        <v>1920</v>
      </c>
      <c r="F50" s="53">
        <v>1920</v>
      </c>
    </row>
    <row r="51" spans="3:6" ht="12.75" outlineLevel="1">
      <c r="C51" s="17" t="s">
        <v>23</v>
      </c>
      <c r="D51" s="57">
        <v>0</v>
      </c>
      <c r="E51" s="61">
        <v>0</v>
      </c>
      <c r="F51" s="53">
        <v>0</v>
      </c>
    </row>
    <row r="52" spans="3:6" ht="15.75" outlineLevel="1">
      <c r="C52" s="25" t="s">
        <v>24</v>
      </c>
      <c r="D52" s="26">
        <v>63754</v>
      </c>
      <c r="E52" s="62">
        <v>93230</v>
      </c>
      <c r="F52" s="59">
        <f>SUM(F34+F38+F47+F51)</f>
        <v>64880</v>
      </c>
    </row>
    <row r="53" spans="3:6" ht="12.75" outlineLevel="1">
      <c r="C53" s="17" t="s">
        <v>33</v>
      </c>
      <c r="D53" s="29">
        <v>302346</v>
      </c>
      <c r="E53" s="63">
        <v>301000</v>
      </c>
      <c r="F53" s="63">
        <v>302346</v>
      </c>
    </row>
    <row r="54" spans="3:6" ht="15.75" outlineLevel="1">
      <c r="C54" s="25" t="s">
        <v>26</v>
      </c>
      <c r="D54" s="64">
        <f>D52/D53</f>
        <v>0.21086437392920693</v>
      </c>
      <c r="E54" s="65">
        <f>E52/E53</f>
        <v>0.309734219269103</v>
      </c>
      <c r="F54" s="66">
        <f>F52/F53</f>
        <v>0.21458858394025387</v>
      </c>
    </row>
    <row r="55" spans="3:6" ht="13.5" outlineLevel="1" thickBot="1">
      <c r="C55" s="34" t="s">
        <v>27</v>
      </c>
      <c r="D55" s="35">
        <f>D54*1.085</f>
        <v>0.2287878457131895</v>
      </c>
      <c r="E55" s="67">
        <f>E54*1.085</f>
        <v>0.33606162790697675</v>
      </c>
      <c r="F55" s="68">
        <f>F54*1.085</f>
        <v>0.23282861357517545</v>
      </c>
    </row>
    <row r="56" spans="3:6" ht="30.75" outlineLevel="1" thickTop="1">
      <c r="C56" s="38" t="s">
        <v>34</v>
      </c>
      <c r="D56" s="69">
        <v>1.759</v>
      </c>
      <c r="E56" s="70"/>
      <c r="F56" s="71">
        <v>1.759</v>
      </c>
    </row>
    <row r="57" spans="3:6" ht="12.75" outlineLevel="1">
      <c r="C57" s="14" t="s">
        <v>35</v>
      </c>
      <c r="D57" s="72">
        <f>D56*1.085</f>
        <v>1.9085149999999997</v>
      </c>
      <c r="E57" s="73"/>
      <c r="F57" s="66">
        <f>F56*1.085</f>
        <v>1.9085149999999997</v>
      </c>
    </row>
    <row r="58" ht="12.75"/>
    <row r="59" ht="12.75"/>
    <row r="60" spans="3:6" ht="24" thickBot="1">
      <c r="C60" s="1" t="s">
        <v>36</v>
      </c>
      <c r="D60" s="1"/>
      <c r="E60" s="1"/>
      <c r="F60"/>
    </row>
    <row r="61" spans="3:6" ht="39" outlineLevel="1" thickBot="1">
      <c r="C61" s="4" t="s">
        <v>37</v>
      </c>
      <c r="D61" s="46" t="s">
        <v>38</v>
      </c>
      <c r="E61" s="74" t="s">
        <v>3</v>
      </c>
      <c r="F61" s="74" t="s">
        <v>39</v>
      </c>
    </row>
    <row r="62" spans="3:6" ht="12.75" outlineLevel="1">
      <c r="C62" s="8" t="s">
        <v>40</v>
      </c>
      <c r="D62" s="75">
        <v>34020</v>
      </c>
      <c r="E62" s="76">
        <v>40376</v>
      </c>
      <c r="F62" s="77">
        <v>34020</v>
      </c>
    </row>
    <row r="63" spans="3:6" ht="12.75" outlineLevel="1">
      <c r="C63" s="17" t="s">
        <v>41</v>
      </c>
      <c r="D63" s="75">
        <v>102824</v>
      </c>
      <c r="E63" s="76">
        <v>108720</v>
      </c>
      <c r="F63" s="78">
        <f>SUM(F64+F78+F82)</f>
        <v>85196</v>
      </c>
    </row>
    <row r="64" spans="3:6" ht="12.75" outlineLevel="1">
      <c r="C64" s="17" t="s">
        <v>5</v>
      </c>
      <c r="D64" s="75">
        <v>78718</v>
      </c>
      <c r="E64" s="76">
        <v>81780</v>
      </c>
      <c r="F64" s="78">
        <f>SUM(F65+F69)</f>
        <v>61090</v>
      </c>
    </row>
    <row r="65" spans="3:6" ht="12.75" outlineLevel="1">
      <c r="C65" s="11" t="s">
        <v>6</v>
      </c>
      <c r="D65" s="75">
        <v>2519</v>
      </c>
      <c r="E65" s="76">
        <v>3260</v>
      </c>
      <c r="F65" s="79">
        <f>SUM(F66:F68)</f>
        <v>3260</v>
      </c>
    </row>
    <row r="66" spans="3:6" ht="12.75" outlineLevel="1">
      <c r="C66" s="14" t="s">
        <v>42</v>
      </c>
      <c r="D66" s="75">
        <v>434</v>
      </c>
      <c r="E66" s="76">
        <v>1220</v>
      </c>
      <c r="F66" s="79">
        <v>1220</v>
      </c>
    </row>
    <row r="67" spans="3:6" ht="12.75" outlineLevel="1">
      <c r="C67" s="14" t="s">
        <v>43</v>
      </c>
      <c r="D67" s="75">
        <v>86</v>
      </c>
      <c r="E67" s="76">
        <v>130</v>
      </c>
      <c r="F67" s="79">
        <v>130</v>
      </c>
    </row>
    <row r="68" spans="3:6" ht="12.75" outlineLevel="1">
      <c r="C68" s="14" t="s">
        <v>44</v>
      </c>
      <c r="D68" s="75">
        <v>1999</v>
      </c>
      <c r="E68" s="76">
        <v>1910</v>
      </c>
      <c r="F68" s="79">
        <v>1910</v>
      </c>
    </row>
    <row r="69" spans="3:6" ht="12.75" outlineLevel="1">
      <c r="C69" s="11" t="s">
        <v>45</v>
      </c>
      <c r="D69" s="75">
        <v>76200</v>
      </c>
      <c r="E69" s="76">
        <v>78520</v>
      </c>
      <c r="F69" s="79">
        <f>SUM(F70:F77)</f>
        <v>57830</v>
      </c>
    </row>
    <row r="70" spans="3:6" ht="12.75" outlineLevel="1">
      <c r="C70" s="14" t="s">
        <v>46</v>
      </c>
      <c r="D70" s="75">
        <v>10289</v>
      </c>
      <c r="E70" s="76">
        <v>13010</v>
      </c>
      <c r="F70" s="79">
        <v>10289</v>
      </c>
    </row>
    <row r="71" spans="3:6" ht="12.75" outlineLevel="1">
      <c r="C71" s="14" t="s">
        <v>47</v>
      </c>
      <c r="D71" s="75">
        <v>34</v>
      </c>
      <c r="E71" s="76">
        <v>790</v>
      </c>
      <c r="F71" s="79">
        <v>34</v>
      </c>
    </row>
    <row r="72" spans="3:6" ht="12.75" outlineLevel="1">
      <c r="C72" s="14" t="s">
        <v>48</v>
      </c>
      <c r="D72" s="75">
        <v>9894</v>
      </c>
      <c r="E72" s="76">
        <v>10880</v>
      </c>
      <c r="F72" s="79">
        <v>9894</v>
      </c>
    </row>
    <row r="73" spans="3:6" ht="12.75" outlineLevel="1">
      <c r="C73" s="14" t="s">
        <v>14</v>
      </c>
      <c r="D73" s="75">
        <v>22634</v>
      </c>
      <c r="E73" s="76">
        <v>22860</v>
      </c>
      <c r="F73" s="79">
        <v>22634</v>
      </c>
    </row>
    <row r="74" spans="3:6" ht="12.75" outlineLevel="1">
      <c r="C74" s="14" t="s">
        <v>15</v>
      </c>
      <c r="D74" s="75">
        <v>70</v>
      </c>
      <c r="E74" s="76">
        <v>60</v>
      </c>
      <c r="F74" s="79">
        <v>70</v>
      </c>
    </row>
    <row r="75" spans="3:6" ht="12.75" outlineLevel="1">
      <c r="C75" s="14" t="s">
        <v>49</v>
      </c>
      <c r="D75" s="75">
        <v>18370</v>
      </c>
      <c r="E75" s="76">
        <v>27340</v>
      </c>
      <c r="F75" s="79">
        <v>0</v>
      </c>
    </row>
    <row r="76" spans="3:6" ht="12.75" outlineLevel="1">
      <c r="C76" s="14" t="s">
        <v>50</v>
      </c>
      <c r="D76" s="75">
        <v>11477</v>
      </c>
      <c r="E76" s="76">
        <v>440</v>
      </c>
      <c r="F76" s="79">
        <v>11477</v>
      </c>
    </row>
    <row r="77" spans="3:6" ht="12.75" outlineLevel="1">
      <c r="C77" s="14" t="s">
        <v>51</v>
      </c>
      <c r="D77" s="75">
        <v>3432</v>
      </c>
      <c r="E77" s="76">
        <v>3140</v>
      </c>
      <c r="F77" s="79">
        <v>3432</v>
      </c>
    </row>
    <row r="78" spans="3:6" ht="12.75" outlineLevel="1">
      <c r="C78" s="17" t="s">
        <v>19</v>
      </c>
      <c r="D78" s="75">
        <v>24106</v>
      </c>
      <c r="E78" s="76">
        <v>26940</v>
      </c>
      <c r="F78" s="78">
        <f>SUM(F79:F81)</f>
        <v>24106</v>
      </c>
    </row>
    <row r="79" spans="3:6" ht="12.75" outlineLevel="1">
      <c r="C79" s="21" t="s">
        <v>20</v>
      </c>
      <c r="D79" s="75">
        <v>1301</v>
      </c>
      <c r="E79" s="76">
        <v>1380</v>
      </c>
      <c r="F79" s="79">
        <v>1301</v>
      </c>
    </row>
    <row r="80" spans="3:6" ht="12.75" outlineLevel="1">
      <c r="C80" s="21" t="s">
        <v>21</v>
      </c>
      <c r="D80" s="75">
        <v>20854</v>
      </c>
      <c r="E80" s="76">
        <v>23490</v>
      </c>
      <c r="F80" s="79">
        <v>20854</v>
      </c>
    </row>
    <row r="81" spans="3:6" ht="12.75" outlineLevel="1">
      <c r="C81" s="21" t="s">
        <v>22</v>
      </c>
      <c r="D81" s="75">
        <v>1951</v>
      </c>
      <c r="E81" s="76">
        <v>2070</v>
      </c>
      <c r="F81" s="79">
        <v>1951</v>
      </c>
    </row>
    <row r="82" spans="3:6" ht="12.75" outlineLevel="1">
      <c r="C82" s="17" t="s">
        <v>23</v>
      </c>
      <c r="D82" s="75">
        <v>0</v>
      </c>
      <c r="E82" s="76">
        <v>0</v>
      </c>
      <c r="F82" s="79">
        <v>0</v>
      </c>
    </row>
    <row r="83" spans="3:6" ht="12.75" outlineLevel="1">
      <c r="C83" s="80" t="s">
        <v>24</v>
      </c>
      <c r="D83" s="75">
        <v>136844</v>
      </c>
      <c r="E83" s="76">
        <v>149096</v>
      </c>
      <c r="F83" s="78">
        <f>SUM(F64+F78+F82+F62)</f>
        <v>119216</v>
      </c>
    </row>
    <row r="84" spans="3:6" ht="25.5" outlineLevel="1">
      <c r="C84" s="81" t="s">
        <v>52</v>
      </c>
      <c r="D84" s="82">
        <v>2558.5</v>
      </c>
      <c r="E84" s="83">
        <v>2800</v>
      </c>
      <c r="F84" s="84">
        <v>2558.5</v>
      </c>
    </row>
    <row r="85" spans="3:6" ht="38.25" outlineLevel="1">
      <c r="C85" s="81" t="s">
        <v>53</v>
      </c>
      <c r="D85" s="85">
        <f>D83/D84</f>
        <v>53.486026968927106</v>
      </c>
      <c r="E85" s="86">
        <f>E83/E84</f>
        <v>53.24857142857143</v>
      </c>
      <c r="F85" s="87">
        <f>F83/F84</f>
        <v>46.596052374438145</v>
      </c>
    </row>
    <row r="86" spans="3:6" ht="25.5" outlineLevel="1">
      <c r="C86" s="80" t="s">
        <v>54</v>
      </c>
      <c r="D86" s="85"/>
      <c r="E86" s="88"/>
      <c r="F86" s="89"/>
    </row>
    <row r="87" spans="3:6" ht="12.75" outlineLevel="1">
      <c r="C87" s="11" t="s">
        <v>55</v>
      </c>
      <c r="D87" s="85">
        <f>D85*1.085</f>
        <v>58.032339261285905</v>
      </c>
      <c r="E87" s="87">
        <f>E85*1.085</f>
        <v>57.7747</v>
      </c>
      <c r="F87" s="87">
        <f>F85*1.085</f>
        <v>50.55671682626539</v>
      </c>
    </row>
    <row r="90" spans="2:3" ht="15.75">
      <c r="B90" s="90" t="s">
        <v>144</v>
      </c>
      <c r="C90" s="91"/>
    </row>
    <row r="91" ht="12.75" outlineLevel="1"/>
    <row r="92" spans="2:6" ht="13.5" outlineLevel="1" thickBot="1">
      <c r="B92" s="92" t="s">
        <v>56</v>
      </c>
      <c r="C92" s="92" t="s">
        <v>57</v>
      </c>
      <c r="D92" s="92" t="s">
        <v>58</v>
      </c>
      <c r="E92" s="92" t="s">
        <v>59</v>
      </c>
      <c r="F92" s="93" t="s">
        <v>60</v>
      </c>
    </row>
    <row r="93" spans="2:6" ht="13.5" customHeight="1" outlineLevel="1" thickTop="1">
      <c r="B93" s="235" t="s">
        <v>61</v>
      </c>
      <c r="C93" s="94" t="s">
        <v>62</v>
      </c>
      <c r="D93" s="95" t="s">
        <v>63</v>
      </c>
      <c r="E93" s="96">
        <f>+E23</f>
        <v>122160</v>
      </c>
      <c r="F93" s="97">
        <f>+F23</f>
        <v>86800</v>
      </c>
    </row>
    <row r="94" spans="2:6" ht="12.75" outlineLevel="1">
      <c r="B94" s="236"/>
      <c r="C94" s="94" t="s">
        <v>64</v>
      </c>
      <c r="D94" s="95" t="s">
        <v>65</v>
      </c>
      <c r="E94" s="98">
        <f>+E24</f>
        <v>331000</v>
      </c>
      <c r="F94" s="99">
        <f>+F24</f>
        <v>331000</v>
      </c>
    </row>
    <row r="95" spans="2:6" ht="12.75" outlineLevel="1">
      <c r="B95" s="236"/>
      <c r="C95" s="100" t="s">
        <v>66</v>
      </c>
      <c r="D95" s="95" t="s">
        <v>67</v>
      </c>
      <c r="E95" s="101">
        <f>+ROUND(E93/E94,4)</f>
        <v>0.3691</v>
      </c>
      <c r="F95" s="102">
        <f>+ROUND(F93/F94,4)</f>
        <v>0.2622</v>
      </c>
    </row>
    <row r="96" spans="2:6" ht="12.75" outlineLevel="1">
      <c r="B96" s="236"/>
      <c r="C96" s="103" t="s">
        <v>68</v>
      </c>
      <c r="D96" s="104" t="s">
        <v>67</v>
      </c>
      <c r="E96" s="105">
        <f>+ROUND(E95*1.085,4)</f>
        <v>0.4005</v>
      </c>
      <c r="F96" s="106">
        <f>+ROUND(F95*1.085,4)</f>
        <v>0.2845</v>
      </c>
    </row>
    <row r="97" spans="2:6" ht="12.75" outlineLevel="1">
      <c r="B97" s="236"/>
      <c r="C97" s="94" t="s">
        <v>69</v>
      </c>
      <c r="D97" s="95" t="s">
        <v>63</v>
      </c>
      <c r="E97" s="107">
        <v>52642</v>
      </c>
      <c r="F97" s="108">
        <v>50314.72</v>
      </c>
    </row>
    <row r="98" spans="2:6" ht="12.75" outlineLevel="1">
      <c r="B98" s="236"/>
      <c r="C98" s="100" t="s">
        <v>70</v>
      </c>
      <c r="D98" s="95" t="s">
        <v>71</v>
      </c>
      <c r="E98" s="101">
        <v>2.022</v>
      </c>
      <c r="F98" s="102">
        <v>1.9327</v>
      </c>
    </row>
    <row r="99" spans="2:6" ht="12.75" outlineLevel="1">
      <c r="B99" s="236"/>
      <c r="C99" s="103" t="s">
        <v>72</v>
      </c>
      <c r="D99" s="104" t="s">
        <v>71</v>
      </c>
      <c r="E99" s="105">
        <f>+ROUND(E98*1.085,4)</f>
        <v>2.1939</v>
      </c>
      <c r="F99" s="106">
        <f>+ROUND(F98*1.085,4)</f>
        <v>2.097</v>
      </c>
    </row>
    <row r="100" ht="12.75" outlineLevel="1"/>
    <row r="101" spans="2:6" ht="12.75" customHeight="1" outlineLevel="1">
      <c r="B101" s="237" t="s">
        <v>73</v>
      </c>
      <c r="C101" s="109" t="s">
        <v>74</v>
      </c>
      <c r="D101" s="110" t="s">
        <v>63</v>
      </c>
      <c r="E101" s="111">
        <f>+E52</f>
        <v>93230</v>
      </c>
      <c r="F101" s="112">
        <f>+F52</f>
        <v>64880</v>
      </c>
    </row>
    <row r="102" spans="2:6" ht="12.75" outlineLevel="1">
      <c r="B102" s="237"/>
      <c r="C102" s="109" t="s">
        <v>64</v>
      </c>
      <c r="D102" s="110" t="s">
        <v>65</v>
      </c>
      <c r="E102" s="113">
        <f>+E53</f>
        <v>301000</v>
      </c>
      <c r="F102" s="114">
        <f>+F53</f>
        <v>302346</v>
      </c>
    </row>
    <row r="103" spans="2:6" ht="12.75" outlineLevel="1">
      <c r="B103" s="237"/>
      <c r="C103" s="115" t="s">
        <v>66</v>
      </c>
      <c r="D103" s="110" t="s">
        <v>67</v>
      </c>
      <c r="E103" s="116">
        <f>+ROUND(E101/E102,4)</f>
        <v>0.3097</v>
      </c>
      <c r="F103" s="117">
        <f>+ROUND(F101/F102,4)</f>
        <v>0.2146</v>
      </c>
    </row>
    <row r="104" spans="2:6" ht="12.75" outlineLevel="1">
      <c r="B104" s="237"/>
      <c r="C104" s="118" t="s">
        <v>68</v>
      </c>
      <c r="D104" s="119" t="s">
        <v>67</v>
      </c>
      <c r="E104" s="120">
        <f>+ROUND(E103*1.085,4)</f>
        <v>0.336</v>
      </c>
      <c r="F104" s="121">
        <f>+ROUND(F103*1.085,4)</f>
        <v>0.2328</v>
      </c>
    </row>
    <row r="105" spans="2:6" ht="12.75" outlineLevel="1">
      <c r="B105" s="237"/>
      <c r="C105" s="109" t="s">
        <v>69</v>
      </c>
      <c r="D105" s="110" t="s">
        <v>63</v>
      </c>
      <c r="E105" s="122">
        <v>49965</v>
      </c>
      <c r="F105" s="123">
        <v>45794.11</v>
      </c>
    </row>
    <row r="106" spans="2:6" ht="12.75" outlineLevel="1">
      <c r="B106" s="237"/>
      <c r="C106" s="115" t="s">
        <v>70</v>
      </c>
      <c r="D106" s="110" t="s">
        <v>71</v>
      </c>
      <c r="E106" s="116">
        <v>1.9192</v>
      </c>
      <c r="F106" s="117">
        <v>1.759</v>
      </c>
    </row>
    <row r="107" spans="2:6" ht="12.75" outlineLevel="1">
      <c r="B107" s="237"/>
      <c r="C107" s="118" t="s">
        <v>72</v>
      </c>
      <c r="D107" s="119" t="s">
        <v>71</v>
      </c>
      <c r="E107" s="120">
        <f>+ROUND(E106*1.085,4)</f>
        <v>2.0823</v>
      </c>
      <c r="F107" s="121">
        <f>+ROUND(F106*1.085,4)</f>
        <v>1.9085</v>
      </c>
    </row>
    <row r="108" ht="12.75" outlineLevel="1"/>
    <row r="109" spans="2:6" ht="12.75" customHeight="1" outlineLevel="1">
      <c r="B109" s="238" t="s">
        <v>75</v>
      </c>
      <c r="C109" s="124" t="s">
        <v>76</v>
      </c>
      <c r="D109" s="125" t="s">
        <v>63</v>
      </c>
      <c r="E109" s="126">
        <f>+E83</f>
        <v>149096</v>
      </c>
      <c r="F109" s="127">
        <f>+F83</f>
        <v>119216</v>
      </c>
    </row>
    <row r="110" spans="2:6" ht="12.75" outlineLevel="1">
      <c r="B110" s="238"/>
      <c r="C110" s="128" t="s">
        <v>77</v>
      </c>
      <c r="D110" s="125" t="s">
        <v>63</v>
      </c>
      <c r="E110" s="126">
        <f>+E62</f>
        <v>40376</v>
      </c>
      <c r="F110" s="127">
        <f>+F62</f>
        <v>34020</v>
      </c>
    </row>
    <row r="111" spans="2:6" ht="12.75" outlineLevel="1">
      <c r="B111" s="238"/>
      <c r="C111" s="128" t="s">
        <v>78</v>
      </c>
      <c r="D111" s="125" t="s">
        <v>63</v>
      </c>
      <c r="E111" s="126">
        <f>+E109-E110</f>
        <v>108720</v>
      </c>
      <c r="F111" s="127">
        <f>+F109-F110</f>
        <v>85196</v>
      </c>
    </row>
    <row r="112" spans="2:6" ht="12.75" outlineLevel="1">
      <c r="B112" s="238"/>
      <c r="C112" s="124" t="s">
        <v>64</v>
      </c>
      <c r="D112" s="125" t="s">
        <v>79</v>
      </c>
      <c r="E112" s="129">
        <f>+E84</f>
        <v>2800</v>
      </c>
      <c r="F112" s="130">
        <f>+F84</f>
        <v>2558.5</v>
      </c>
    </row>
    <row r="113" spans="2:6" ht="12.75" outlineLevel="1">
      <c r="B113" s="238"/>
      <c r="C113" s="124" t="s">
        <v>80</v>
      </c>
      <c r="D113" s="125" t="s">
        <v>79</v>
      </c>
      <c r="E113" s="129">
        <v>600</v>
      </c>
      <c r="F113" s="130">
        <v>694.6262027936725</v>
      </c>
    </row>
    <row r="114" spans="2:6" ht="12.75" outlineLevel="1">
      <c r="B114" s="238"/>
      <c r="C114" s="124" t="s">
        <v>81</v>
      </c>
      <c r="D114" s="125" t="s">
        <v>82</v>
      </c>
      <c r="E114" s="131">
        <v>6054</v>
      </c>
      <c r="F114" s="132">
        <v>6060</v>
      </c>
    </row>
    <row r="115" spans="2:6" ht="12.75" outlineLevel="1">
      <c r="B115" s="238"/>
      <c r="C115" s="133" t="s">
        <v>83</v>
      </c>
      <c r="D115" s="125" t="s">
        <v>84</v>
      </c>
      <c r="E115" s="134">
        <f>+ROUND(E109/$E$112,4)</f>
        <v>53.2486</v>
      </c>
      <c r="F115" s="135">
        <f>+ROUND(F109/$F$112,4)</f>
        <v>46.5961</v>
      </c>
    </row>
    <row r="116" spans="2:6" ht="12.75" outlineLevel="1">
      <c r="B116" s="238"/>
      <c r="C116" s="128" t="s">
        <v>85</v>
      </c>
      <c r="D116" s="125" t="s">
        <v>84</v>
      </c>
      <c r="E116" s="134">
        <f>+ROUND(E110/$E$112,4)</f>
        <v>14.42</v>
      </c>
      <c r="F116" s="135">
        <f>+ROUND(F110/$F$112,4)</f>
        <v>13.2969</v>
      </c>
    </row>
    <row r="117" spans="2:6" ht="12.75" outlineLevel="1">
      <c r="B117" s="238"/>
      <c r="C117" s="128" t="s">
        <v>86</v>
      </c>
      <c r="D117" s="125" t="s">
        <v>84</v>
      </c>
      <c r="E117" s="134">
        <f>+ROUND(E111/$E$112,4)</f>
        <v>38.8286</v>
      </c>
      <c r="F117" s="135">
        <f>+ROUND(F111/$F$112,4)</f>
        <v>33.2992</v>
      </c>
    </row>
    <row r="118" spans="2:6" ht="12.75" outlineLevel="1">
      <c r="B118" s="238"/>
      <c r="C118" s="136" t="s">
        <v>87</v>
      </c>
      <c r="D118" s="137" t="s">
        <v>84</v>
      </c>
      <c r="E118" s="138">
        <f aca="true" t="shared" si="0" ref="E118:F120">+ROUND(E115*1.085,4)</f>
        <v>57.7747</v>
      </c>
      <c r="F118" s="139">
        <f t="shared" si="0"/>
        <v>50.5568</v>
      </c>
    </row>
    <row r="119" spans="2:6" ht="12.75" outlineLevel="1">
      <c r="B119" s="238"/>
      <c r="C119" s="140" t="s">
        <v>85</v>
      </c>
      <c r="D119" s="137" t="s">
        <v>84</v>
      </c>
      <c r="E119" s="138">
        <f t="shared" si="0"/>
        <v>15.6457</v>
      </c>
      <c r="F119" s="139">
        <f t="shared" si="0"/>
        <v>14.4271</v>
      </c>
    </row>
    <row r="120" spans="2:6" ht="12.75" outlineLevel="1">
      <c r="B120" s="238"/>
      <c r="C120" s="140" t="s">
        <v>86</v>
      </c>
      <c r="D120" s="137" t="s">
        <v>84</v>
      </c>
      <c r="E120" s="138">
        <f t="shared" si="0"/>
        <v>42.129</v>
      </c>
      <c r="F120" s="139">
        <f t="shared" si="0"/>
        <v>36.1296</v>
      </c>
    </row>
    <row r="121" spans="2:6" ht="12.75" outlineLevel="1">
      <c r="B121" s="238"/>
      <c r="C121" s="140"/>
      <c r="D121" s="137"/>
      <c r="E121" s="138"/>
      <c r="F121" s="139"/>
    </row>
    <row r="122" spans="2:6" ht="12.75" outlineLevel="1">
      <c r="B122" s="238"/>
      <c r="C122" s="133" t="s">
        <v>88</v>
      </c>
      <c r="D122" s="125" t="s">
        <v>89</v>
      </c>
      <c r="E122" s="134">
        <f>ROUND(($E$109-E115*E113)/12/E114,4)</f>
        <v>1.6125</v>
      </c>
      <c r="F122" s="135">
        <f>ROUND(($F$109-F115*F113)/12/F114,4)</f>
        <v>1.1943</v>
      </c>
    </row>
    <row r="123" spans="2:6" ht="12.75" outlineLevel="1">
      <c r="B123" s="238"/>
      <c r="C123" s="128" t="s">
        <v>85</v>
      </c>
      <c r="D123" s="125" t="s">
        <v>89</v>
      </c>
      <c r="E123" s="134">
        <f>+ROUND(E122*$F$62/$F$83,4)</f>
        <v>0.4602</v>
      </c>
      <c r="F123" s="135">
        <f>+ROUND(F122*$F$62/$F$83,4)</f>
        <v>0.3408</v>
      </c>
    </row>
    <row r="124" spans="2:6" ht="12.75" outlineLevel="1">
      <c r="B124" s="238"/>
      <c r="C124" s="128" t="s">
        <v>86</v>
      </c>
      <c r="D124" s="125" t="s">
        <v>89</v>
      </c>
      <c r="E124" s="134">
        <f>+E122-E123</f>
        <v>1.1523</v>
      </c>
      <c r="F124" s="135">
        <f>+F122-F123</f>
        <v>0.8534999999999999</v>
      </c>
    </row>
    <row r="125" spans="2:6" ht="12.75" outlineLevel="1">
      <c r="B125" s="238"/>
      <c r="C125" s="136" t="s">
        <v>90</v>
      </c>
      <c r="D125" s="125" t="s">
        <v>89</v>
      </c>
      <c r="E125" s="138">
        <f aca="true" t="shared" si="1" ref="E125:F127">+ROUND(E122*1.085,4)</f>
        <v>1.7496</v>
      </c>
      <c r="F125" s="139">
        <f t="shared" si="1"/>
        <v>1.2958</v>
      </c>
    </row>
    <row r="126" spans="2:6" ht="12.75" outlineLevel="1">
      <c r="B126" s="238"/>
      <c r="C126" s="140" t="s">
        <v>85</v>
      </c>
      <c r="D126" s="125" t="s">
        <v>89</v>
      </c>
      <c r="E126" s="138">
        <f t="shared" si="1"/>
        <v>0.4993</v>
      </c>
      <c r="F126" s="139">
        <f t="shared" si="1"/>
        <v>0.3698</v>
      </c>
    </row>
    <row r="127" spans="2:6" ht="12.75" outlineLevel="1">
      <c r="B127" s="238"/>
      <c r="C127" s="140" t="s">
        <v>86</v>
      </c>
      <c r="D127" s="125" t="s">
        <v>89</v>
      </c>
      <c r="E127" s="138">
        <f t="shared" si="1"/>
        <v>1.2502</v>
      </c>
      <c r="F127" s="139">
        <f t="shared" si="1"/>
        <v>0.926</v>
      </c>
    </row>
    <row r="130" spans="2:8" ht="15.75">
      <c r="B130" s="90" t="s">
        <v>91</v>
      </c>
      <c r="C130" s="91"/>
      <c r="D130" s="141"/>
      <c r="E130" s="141"/>
      <c r="F130" s="142"/>
      <c r="G130" s="142"/>
      <c r="H130" s="142"/>
    </row>
    <row r="131" spans="3:8" ht="13.5" outlineLevel="1" thickBot="1">
      <c r="C131" s="141"/>
      <c r="D131" s="141"/>
      <c r="E131" s="141"/>
      <c r="F131" s="142"/>
      <c r="G131" s="142"/>
      <c r="H131" s="142"/>
    </row>
    <row r="132" spans="3:8" ht="15.75" outlineLevel="1" thickBot="1">
      <c r="C132" s="143" t="s">
        <v>92</v>
      </c>
      <c r="D132" s="143" t="s">
        <v>93</v>
      </c>
      <c r="E132" s="144" t="s">
        <v>94</v>
      </c>
      <c r="F132" s="143" t="s">
        <v>95</v>
      </c>
      <c r="G132" s="143" t="s">
        <v>96</v>
      </c>
      <c r="H132" s="145" t="s">
        <v>97</v>
      </c>
    </row>
    <row r="133" spans="3:8" ht="13.5" outlineLevel="1" thickTop="1">
      <c r="C133" s="146" t="s">
        <v>98</v>
      </c>
      <c r="D133" s="147"/>
      <c r="E133" s="148"/>
      <c r="F133" s="147"/>
      <c r="G133" s="147"/>
      <c r="H133" s="149">
        <v>98500</v>
      </c>
    </row>
    <row r="134" spans="3:8" ht="12.75" outlineLevel="1">
      <c r="C134" s="150" t="s">
        <v>99</v>
      </c>
      <c r="D134" s="147"/>
      <c r="E134" s="148"/>
      <c r="F134" s="147"/>
      <c r="G134" s="147"/>
      <c r="H134" s="149">
        <v>70987.63110134588</v>
      </c>
    </row>
    <row r="135" spans="3:8" ht="12.75" outlineLevel="1">
      <c r="C135" s="150" t="s">
        <v>100</v>
      </c>
      <c r="D135" s="151">
        <f>+$H$135</f>
        <v>0.2488907743652035</v>
      </c>
      <c r="E135" s="152">
        <f>+$H$135</f>
        <v>0.2488907743652035</v>
      </c>
      <c r="F135" s="151">
        <f>+$H$135</f>
        <v>0.2488907743652035</v>
      </c>
      <c r="G135" s="151">
        <f>+$H$135</f>
        <v>0.2488907743652035</v>
      </c>
      <c r="H135" s="153">
        <v>0.2488907743652035</v>
      </c>
    </row>
    <row r="136" spans="3:8" ht="12.75" outlineLevel="1">
      <c r="C136" s="150" t="s">
        <v>101</v>
      </c>
      <c r="D136" s="151">
        <f>+$H$136</f>
        <v>9.806156673512726</v>
      </c>
      <c r="E136" s="152">
        <f>+$H$136</f>
        <v>9.806156673512726</v>
      </c>
      <c r="F136" s="151">
        <f>+$H$136</f>
        <v>9.806156673512726</v>
      </c>
      <c r="G136" s="151">
        <f>+$H$136</f>
        <v>9.806156673512726</v>
      </c>
      <c r="H136" s="153">
        <v>9.806156673512726</v>
      </c>
    </row>
    <row r="137" spans="3:8" ht="15" outlineLevel="1">
      <c r="C137" s="141"/>
      <c r="D137" s="154"/>
      <c r="E137" s="155"/>
      <c r="F137" s="154"/>
      <c r="G137" s="154"/>
      <c r="H137" s="156"/>
    </row>
    <row r="138" spans="3:8" ht="12.75" outlineLevel="1">
      <c r="C138" s="146" t="s">
        <v>102</v>
      </c>
      <c r="D138" s="157"/>
      <c r="E138" s="158"/>
      <c r="F138" s="157"/>
      <c r="G138" s="157"/>
      <c r="H138" s="149">
        <v>109544</v>
      </c>
    </row>
    <row r="139" spans="3:8" ht="12.75" outlineLevel="1">
      <c r="C139" s="150" t="s">
        <v>99</v>
      </c>
      <c r="D139" s="147"/>
      <c r="E139" s="148"/>
      <c r="F139" s="147"/>
      <c r="G139" s="147"/>
      <c r="H139" s="149">
        <v>78946.8940240186</v>
      </c>
    </row>
    <row r="140" spans="3:8" ht="12.75" outlineLevel="1">
      <c r="C140" s="150" t="s">
        <v>103</v>
      </c>
      <c r="D140" s="151">
        <f>+$H$140</f>
        <v>0.27679686281281063</v>
      </c>
      <c r="E140" s="152">
        <f>+$H$140</f>
        <v>0.27679686281281063</v>
      </c>
      <c r="F140" s="151">
        <f>+$H$140</f>
        <v>0.27679686281281063</v>
      </c>
      <c r="G140" s="151">
        <f>+$H$140</f>
        <v>0.27679686281281063</v>
      </c>
      <c r="H140" s="153">
        <v>0.27679686281281063</v>
      </c>
    </row>
    <row r="141" spans="3:8" ht="12.75" outlineLevel="1">
      <c r="C141" s="150" t="s">
        <v>101</v>
      </c>
      <c r="D141" s="151">
        <f>+$H$141</f>
        <v>10.905640879627189</v>
      </c>
      <c r="E141" s="152">
        <f>+$H$141</f>
        <v>10.905640879627189</v>
      </c>
      <c r="F141" s="151">
        <f>+$H$141</f>
        <v>10.905640879627189</v>
      </c>
      <c r="G141" s="151">
        <f>+$H$141</f>
        <v>10.905640879627189</v>
      </c>
      <c r="H141" s="153">
        <v>10.905640879627189</v>
      </c>
    </row>
    <row r="142" spans="3:8" ht="12.75" outlineLevel="1">
      <c r="C142" s="141"/>
      <c r="D142" s="141"/>
      <c r="E142" s="159"/>
      <c r="F142" s="141"/>
      <c r="G142" s="141"/>
      <c r="H142" s="160"/>
    </row>
    <row r="143" spans="3:8" ht="12.75" outlineLevel="1">
      <c r="C143" s="146" t="s">
        <v>104</v>
      </c>
      <c r="D143" s="147"/>
      <c r="E143" s="148"/>
      <c r="F143" s="147"/>
      <c r="G143" s="147"/>
      <c r="H143" s="149">
        <v>112802.36</v>
      </c>
    </row>
    <row r="144" spans="3:8" ht="12.75" outlineLevel="1">
      <c r="C144" s="150" t="s">
        <v>99</v>
      </c>
      <c r="D144" s="151"/>
      <c r="E144" s="159"/>
      <c r="F144" s="141"/>
      <c r="G144" s="141"/>
      <c r="H144" s="149">
        <v>81295.15044711893</v>
      </c>
    </row>
    <row r="145" spans="3:8" ht="12.75" outlineLevel="1">
      <c r="C145" s="150" t="s">
        <v>103</v>
      </c>
      <c r="D145" s="161">
        <f>+$H$145</f>
        <v>0.2850301190926137</v>
      </c>
      <c r="E145" s="162">
        <f>+$H$145</f>
        <v>0.2850301190926137</v>
      </c>
      <c r="F145" s="161">
        <f>+$H$145</f>
        <v>0.2850301190926137</v>
      </c>
      <c r="G145" s="161">
        <f>+$H$145</f>
        <v>0.2850301190926137</v>
      </c>
      <c r="H145" s="153">
        <v>0.2850301190926137</v>
      </c>
    </row>
    <row r="146" spans="3:8" ht="13.5" outlineLevel="1" thickBot="1">
      <c r="C146" s="150" t="s">
        <v>101</v>
      </c>
      <c r="D146" s="161">
        <f>+$H$146</f>
        <v>11.230026551289187</v>
      </c>
      <c r="E146" s="163">
        <f>+$H$146</f>
        <v>11.230026551289187</v>
      </c>
      <c r="F146" s="161">
        <f>+$H$146</f>
        <v>11.230026551289187</v>
      </c>
      <c r="G146" s="161">
        <f>+$H$146</f>
        <v>11.230026551289187</v>
      </c>
      <c r="H146" s="153">
        <v>11.230026551289187</v>
      </c>
    </row>
    <row r="147" spans="3:6" ht="12.75">
      <c r="C147" s="164"/>
      <c r="D147" s="165"/>
      <c r="E147" s="166"/>
      <c r="F147" s="166"/>
    </row>
    <row r="148" ht="12.75"/>
    <row r="149" spans="3:5" ht="16.5" thickBot="1">
      <c r="C149" s="167" t="s">
        <v>105</v>
      </c>
      <c r="D149" s="167" t="s">
        <v>106</v>
      </c>
      <c r="E149" s="167" t="s">
        <v>58</v>
      </c>
    </row>
    <row r="150" spans="3:8" ht="13.5" outlineLevel="1" thickTop="1">
      <c r="C150" s="168" t="s">
        <v>107</v>
      </c>
      <c r="D150" s="169">
        <v>8.0882</v>
      </c>
      <c r="E150" s="170" t="s">
        <v>108</v>
      </c>
      <c r="G150"/>
      <c r="H150"/>
    </row>
    <row r="151" spans="3:8" ht="12.75" outlineLevel="1">
      <c r="C151" s="168" t="s">
        <v>107</v>
      </c>
      <c r="D151" s="169">
        <v>7.6769</v>
      </c>
      <c r="E151" s="170" t="s">
        <v>108</v>
      </c>
      <c r="G151"/>
      <c r="H151"/>
    </row>
    <row r="152" spans="3:8" ht="12.75" outlineLevel="1">
      <c r="C152" s="168" t="s">
        <v>109</v>
      </c>
      <c r="D152" s="171">
        <v>1.085</v>
      </c>
      <c r="E152" s="170"/>
      <c r="G152"/>
      <c r="H152"/>
    </row>
    <row r="153" spans="3:8" ht="12.75" outlineLevel="1">
      <c r="C153" s="172" t="s">
        <v>110</v>
      </c>
      <c r="D153" s="173">
        <f>4.5</f>
        <v>4.5</v>
      </c>
      <c r="E153" s="174" t="s">
        <v>111</v>
      </c>
      <c r="G153"/>
      <c r="H153"/>
    </row>
    <row r="154" spans="3:8" ht="12.75" outlineLevel="1">
      <c r="C154" s="168" t="s">
        <v>112</v>
      </c>
      <c r="D154" s="171">
        <v>23</v>
      </c>
      <c r="E154" s="170"/>
      <c r="G154"/>
      <c r="H154"/>
    </row>
    <row r="155" spans="3:8" ht="12.75" outlineLevel="1">
      <c r="C155" s="168" t="s">
        <v>113</v>
      </c>
      <c r="D155" s="171">
        <v>54</v>
      </c>
      <c r="E155" s="170"/>
      <c r="G155"/>
      <c r="H155"/>
    </row>
    <row r="156" spans="3:8" ht="12.75" outlineLevel="1">
      <c r="C156" s="175" t="s">
        <v>114</v>
      </c>
      <c r="D156" s="176">
        <f>+D150/D155</f>
        <v>0.1497814814814815</v>
      </c>
      <c r="E156" s="109" t="s">
        <v>115</v>
      </c>
      <c r="G156"/>
      <c r="H156"/>
    </row>
    <row r="157" spans="3:8" ht="12.75" outlineLevel="1">
      <c r="C157" s="175" t="s">
        <v>116</v>
      </c>
      <c r="D157" s="176">
        <f>+D151/D155</f>
        <v>0.1421648148148148</v>
      </c>
      <c r="E157" s="109" t="s">
        <v>115</v>
      </c>
      <c r="G157"/>
      <c r="H157"/>
    </row>
    <row r="158" ht="15.75">
      <c r="B158" s="177"/>
    </row>
    <row r="159" spans="6:7" ht="12.75">
      <c r="F159"/>
      <c r="G159"/>
    </row>
    <row r="160" spans="2:7" ht="15.75">
      <c r="B160" s="177" t="s">
        <v>145</v>
      </c>
      <c r="F160"/>
      <c r="G160"/>
    </row>
    <row r="161" ht="12.75" outlineLevel="1"/>
    <row r="162" spans="3:5" ht="43.5" customHeight="1" outlineLevel="1">
      <c r="C162" s="178" t="s">
        <v>117</v>
      </c>
      <c r="D162" s="179" t="s">
        <v>118</v>
      </c>
      <c r="E162" s="179" t="s">
        <v>119</v>
      </c>
    </row>
    <row r="163" spans="2:5" ht="3.75" customHeight="1" outlineLevel="1" thickBot="1">
      <c r="B163" s="180"/>
      <c r="C163" s="180"/>
      <c r="D163" s="181"/>
      <c r="E163" s="181"/>
    </row>
    <row r="164" spans="2:5" ht="12.75" customHeight="1" outlineLevel="1">
      <c r="B164" s="229" t="s">
        <v>120</v>
      </c>
      <c r="C164" s="182" t="s">
        <v>121</v>
      </c>
      <c r="D164" s="183">
        <v>1.2639</v>
      </c>
      <c r="E164" s="183">
        <v>1.9707</v>
      </c>
    </row>
    <row r="165" spans="2:5" ht="12.75" outlineLevel="1">
      <c r="B165" s="230"/>
      <c r="C165" s="182" t="s">
        <v>122</v>
      </c>
      <c r="D165" s="183">
        <v>0.8153</v>
      </c>
      <c r="E165" s="183">
        <f>+E122</f>
        <v>1.6125</v>
      </c>
    </row>
    <row r="166" spans="2:5" ht="13.5" customHeight="1" outlineLevel="1">
      <c r="B166" s="230"/>
      <c r="C166" s="182" t="s">
        <v>123</v>
      </c>
      <c r="D166" s="184">
        <v>0.863</v>
      </c>
      <c r="E166" s="185">
        <v>0</v>
      </c>
    </row>
    <row r="167" spans="2:5" ht="13.5" customHeight="1" outlineLevel="1">
      <c r="B167" s="230"/>
      <c r="C167" s="182" t="s">
        <v>124</v>
      </c>
      <c r="D167" s="185">
        <v>0</v>
      </c>
      <c r="E167" s="184">
        <f>+E135</f>
        <v>0.2488907743652035</v>
      </c>
    </row>
    <row r="168" spans="2:5" ht="12.75" customHeight="1" outlineLevel="1">
      <c r="B168" s="230"/>
      <c r="C168" s="182" t="s">
        <v>125</v>
      </c>
      <c r="D168" s="183">
        <v>0.1898</v>
      </c>
      <c r="E168" s="184">
        <f>+E145</f>
        <v>0.2850301190926137</v>
      </c>
    </row>
    <row r="169" spans="2:5" ht="12.75" customHeight="1" outlineLevel="1">
      <c r="B169" s="230"/>
      <c r="C169" s="182" t="s">
        <v>126</v>
      </c>
      <c r="D169" s="183">
        <v>0.247</v>
      </c>
      <c r="E169" s="183">
        <f>+E145</f>
        <v>0.2850301190926137</v>
      </c>
    </row>
    <row r="170" spans="2:7" ht="13.5" customHeight="1" outlineLevel="1" thickBot="1">
      <c r="B170" s="234"/>
      <c r="C170" s="186" t="s">
        <v>127</v>
      </c>
      <c r="D170" s="187">
        <f>SUM(D164:D169)</f>
        <v>3.379</v>
      </c>
      <c r="E170" s="187">
        <f>SUM(E164:E169)</f>
        <v>4.402151012550431</v>
      </c>
      <c r="G170" s="188"/>
    </row>
    <row r="171" spans="2:5" ht="12.75" customHeight="1" outlineLevel="1">
      <c r="B171" s="229" t="s">
        <v>128</v>
      </c>
      <c r="C171" s="189" t="s">
        <v>129</v>
      </c>
      <c r="D171" s="190">
        <v>0</v>
      </c>
      <c r="E171" s="191">
        <f>+D156</f>
        <v>0.1497814814814815</v>
      </c>
    </row>
    <row r="172" spans="2:5" ht="12.75" customHeight="1" outlineLevel="1">
      <c r="B172" s="230"/>
      <c r="C172" s="192" t="s">
        <v>130</v>
      </c>
      <c r="D172" s="193">
        <f>0.3158*NPVo</f>
        <v>1.4211</v>
      </c>
      <c r="E172" s="193">
        <f>+E95*NPVo</f>
        <v>1.66095</v>
      </c>
    </row>
    <row r="173" spans="2:5" ht="12.75" customHeight="1" outlineLevel="1">
      <c r="B173" s="230"/>
      <c r="C173" s="192" t="s">
        <v>131</v>
      </c>
      <c r="D173" s="193">
        <f>0.0643*NPVo</f>
        <v>0.28935</v>
      </c>
      <c r="E173" s="193">
        <f>0.0555*NPVo</f>
        <v>0.24975</v>
      </c>
    </row>
    <row r="174" spans="2:5" ht="13.5" customHeight="1" outlineLevel="1">
      <c r="B174" s="230"/>
      <c r="C174" s="192" t="s">
        <v>132</v>
      </c>
      <c r="D174" s="193">
        <f>+$D$152/$D$155</f>
        <v>0.020092592592592592</v>
      </c>
      <c r="E174" s="193">
        <f>+$D$152/$D$155</f>
        <v>0.020092592592592592</v>
      </c>
    </row>
    <row r="175" spans="2:5" ht="12.75" outlineLevel="1">
      <c r="B175" s="230"/>
      <c r="C175" s="192" t="s">
        <v>133</v>
      </c>
      <c r="D175" s="193">
        <f>0.0803*NPVo</f>
        <v>0.36135</v>
      </c>
      <c r="E175" s="194">
        <v>0</v>
      </c>
    </row>
    <row r="176" spans="2:5" ht="12.75" outlineLevel="1">
      <c r="B176" s="230"/>
      <c r="C176" s="192" t="s">
        <v>134</v>
      </c>
      <c r="D176" s="194">
        <v>0</v>
      </c>
      <c r="E176" s="193">
        <f>+D157</f>
        <v>0.1421648148148148</v>
      </c>
    </row>
    <row r="177" spans="2:5" ht="12.75" outlineLevel="1">
      <c r="B177" s="230"/>
      <c r="C177" s="192" t="s">
        <v>135</v>
      </c>
      <c r="D177" s="195">
        <f>0.2252*NPVo</f>
        <v>1.0134</v>
      </c>
      <c r="E177" s="193">
        <f>+E103*NPVo</f>
        <v>1.3936499999999998</v>
      </c>
    </row>
    <row r="178" spans="2:5" ht="12.75" outlineLevel="1">
      <c r="B178" s="230"/>
      <c r="C178" s="192" t="s">
        <v>126</v>
      </c>
      <c r="D178" s="195">
        <f>0.4754*NPVo</f>
        <v>2.1393</v>
      </c>
      <c r="E178" s="195">
        <f>0.4754*NPVo</f>
        <v>2.1393</v>
      </c>
    </row>
    <row r="179" spans="2:5" ht="12.75" outlineLevel="1">
      <c r="B179" s="230"/>
      <c r="C179" s="196" t="s">
        <v>136</v>
      </c>
      <c r="D179" s="197">
        <f>SUM(D171:D178)</f>
        <v>5.244592592592593</v>
      </c>
      <c r="E179" s="197">
        <f>SUM(E171:E178)</f>
        <v>5.755688888888889</v>
      </c>
    </row>
    <row r="180" spans="3:5" ht="18" outlineLevel="1">
      <c r="C180" s="198" t="s">
        <v>137</v>
      </c>
      <c r="D180" s="199">
        <f>+D170+D179</f>
        <v>8.623592592592592</v>
      </c>
      <c r="E180" s="199">
        <f>+E170+E179</f>
        <v>10.15783990143932</v>
      </c>
    </row>
    <row r="181" ht="13.5" thickBot="1"/>
    <row r="182" spans="5:6" ht="12.75">
      <c r="E182" s="200" t="s">
        <v>138</v>
      </c>
      <c r="F182" s="201" t="s">
        <v>139</v>
      </c>
    </row>
    <row r="183" spans="2:6" ht="16.5" thickBot="1">
      <c r="B183" s="202" t="s">
        <v>146</v>
      </c>
      <c r="C183" s="170"/>
      <c r="D183" s="170"/>
      <c r="E183" s="203">
        <v>1.085</v>
      </c>
      <c r="F183" s="204">
        <v>4</v>
      </c>
    </row>
    <row r="184" ht="12.75" outlineLevel="1"/>
    <row r="185" spans="3:5" ht="33.75" outlineLevel="1">
      <c r="C185" s="178" t="s">
        <v>117</v>
      </c>
      <c r="D185" s="179" t="s">
        <v>118</v>
      </c>
      <c r="E185" s="179" t="s">
        <v>119</v>
      </c>
    </row>
    <row r="186" spans="2:5" ht="6" customHeight="1" outlineLevel="1" thickBot="1">
      <c r="B186" s="180"/>
      <c r="C186" s="180"/>
      <c r="D186" s="181"/>
      <c r="E186" s="181"/>
    </row>
    <row r="187" spans="2:5" ht="12.75" customHeight="1" outlineLevel="1" thickTop="1">
      <c r="B187" s="231" t="s">
        <v>120</v>
      </c>
      <c r="C187" s="182" t="s">
        <v>121</v>
      </c>
      <c r="D187" s="205">
        <f aca="true" t="shared" si="2" ref="D187:E192">+D164*$E$183*$F$183</f>
        <v>5.485326</v>
      </c>
      <c r="E187" s="205">
        <f t="shared" si="2"/>
        <v>8.552838</v>
      </c>
    </row>
    <row r="188" spans="2:5" ht="12.75" customHeight="1" outlineLevel="1">
      <c r="B188" s="232"/>
      <c r="C188" s="182" t="s">
        <v>122</v>
      </c>
      <c r="D188" s="205">
        <f t="shared" si="2"/>
        <v>3.538402</v>
      </c>
      <c r="E188" s="205">
        <f t="shared" si="2"/>
        <v>6.99825</v>
      </c>
    </row>
    <row r="189" spans="2:6" ht="12.75" customHeight="1" outlineLevel="1">
      <c r="B189" s="232"/>
      <c r="C189" s="182" t="s">
        <v>123</v>
      </c>
      <c r="D189" s="205">
        <f t="shared" si="2"/>
        <v>3.7454199999999997</v>
      </c>
      <c r="E189" s="205">
        <f t="shared" si="2"/>
        <v>0</v>
      </c>
      <c r="F189"/>
    </row>
    <row r="190" spans="2:6" ht="12.75" customHeight="1" outlineLevel="1">
      <c r="B190" s="232"/>
      <c r="C190" s="182" t="s">
        <v>124</v>
      </c>
      <c r="D190" s="205">
        <f t="shared" si="2"/>
        <v>0</v>
      </c>
      <c r="E190" s="205">
        <f t="shared" si="2"/>
        <v>1.080185960744983</v>
      </c>
      <c r="F190"/>
    </row>
    <row r="191" spans="2:6" ht="12.75" customHeight="1" outlineLevel="1">
      <c r="B191" s="232"/>
      <c r="C191" s="182" t="s">
        <v>125</v>
      </c>
      <c r="D191" s="205">
        <f t="shared" si="2"/>
        <v>0.8237319999999999</v>
      </c>
      <c r="E191" s="205">
        <f t="shared" si="2"/>
        <v>1.2370307168619434</v>
      </c>
      <c r="F191"/>
    </row>
    <row r="192" spans="2:6" ht="12.75" customHeight="1" outlineLevel="1">
      <c r="B192" s="232"/>
      <c r="C192" s="182" t="s">
        <v>126</v>
      </c>
      <c r="D192" s="205">
        <f t="shared" si="2"/>
        <v>1.07198</v>
      </c>
      <c r="E192" s="205">
        <f t="shared" si="2"/>
        <v>1.2370307168619434</v>
      </c>
      <c r="F192"/>
    </row>
    <row r="193" spans="2:6" ht="13.5" customHeight="1" outlineLevel="1" thickBot="1">
      <c r="B193" s="233"/>
      <c r="C193" s="186" t="s">
        <v>127</v>
      </c>
      <c r="D193" s="206">
        <f>SUM(D187:D192)</f>
        <v>14.66486</v>
      </c>
      <c r="E193" s="206">
        <f>SUM(E187:E192)</f>
        <v>19.105335394468874</v>
      </c>
      <c r="F193"/>
    </row>
    <row r="194" spans="2:5" ht="12.75" customHeight="1" outlineLevel="1">
      <c r="B194" s="229" t="s">
        <v>128</v>
      </c>
      <c r="C194" s="189" t="s">
        <v>129</v>
      </c>
      <c r="D194" s="207">
        <f aca="true" t="shared" si="3" ref="D194:E196">+D171*$E$183*$F$183</f>
        <v>0</v>
      </c>
      <c r="E194" s="208">
        <f t="shared" si="3"/>
        <v>0.6500516296296296</v>
      </c>
    </row>
    <row r="195" spans="2:5" ht="12.75" customHeight="1" outlineLevel="1">
      <c r="B195" s="230"/>
      <c r="C195" s="192" t="s">
        <v>130</v>
      </c>
      <c r="D195" s="207">
        <f t="shared" si="3"/>
        <v>6.167574</v>
      </c>
      <c r="E195" s="207">
        <f t="shared" si="3"/>
        <v>7.208523</v>
      </c>
    </row>
    <row r="196" spans="2:5" ht="12.75" customHeight="1" outlineLevel="1">
      <c r="B196" s="230"/>
      <c r="C196" s="192" t="s">
        <v>131</v>
      </c>
      <c r="D196" s="207">
        <f t="shared" si="3"/>
        <v>1.255779</v>
      </c>
      <c r="E196" s="207">
        <f t="shared" si="3"/>
        <v>1.083915</v>
      </c>
    </row>
    <row r="197" spans="2:5" ht="12.75" customHeight="1" outlineLevel="1">
      <c r="B197" s="230"/>
      <c r="C197" s="192" t="s">
        <v>132</v>
      </c>
      <c r="D197" s="209">
        <f>+$D$152*1.2</f>
        <v>1.3019999999999998</v>
      </c>
      <c r="E197" s="209">
        <f>+$D$152*1.2</f>
        <v>1.3019999999999998</v>
      </c>
    </row>
    <row r="198" spans="2:5" ht="12.75" customHeight="1" outlineLevel="1">
      <c r="B198" s="230"/>
      <c r="C198" s="192" t="s">
        <v>133</v>
      </c>
      <c r="D198" s="207">
        <f aca="true" t="shared" si="4" ref="D198:E201">+D175*$E$183*$F$183</f>
        <v>1.568259</v>
      </c>
      <c r="E198" s="207">
        <f t="shared" si="4"/>
        <v>0</v>
      </c>
    </row>
    <row r="199" spans="2:5" ht="12.75" customHeight="1" outlineLevel="1">
      <c r="B199" s="230"/>
      <c r="C199" s="192" t="s">
        <v>134</v>
      </c>
      <c r="D199" s="207">
        <f t="shared" si="4"/>
        <v>0</v>
      </c>
      <c r="E199" s="208">
        <f t="shared" si="4"/>
        <v>0.6169952962962962</v>
      </c>
    </row>
    <row r="200" spans="2:5" ht="12.75" customHeight="1" outlineLevel="1">
      <c r="B200" s="230"/>
      <c r="C200" s="192" t="s">
        <v>135</v>
      </c>
      <c r="D200" s="207">
        <f t="shared" si="4"/>
        <v>4.398156</v>
      </c>
      <c r="E200" s="207">
        <f t="shared" si="4"/>
        <v>6.0484409999999995</v>
      </c>
    </row>
    <row r="201" spans="2:5" ht="12.75" customHeight="1" outlineLevel="1">
      <c r="B201" s="230"/>
      <c r="C201" s="192" t="s">
        <v>126</v>
      </c>
      <c r="D201" s="207">
        <f t="shared" si="4"/>
        <v>9.284562</v>
      </c>
      <c r="E201" s="207">
        <f t="shared" si="4"/>
        <v>9.284562</v>
      </c>
    </row>
    <row r="202" spans="2:5" ht="12.75" customHeight="1" outlineLevel="1">
      <c r="B202" s="230"/>
      <c r="C202" s="196" t="s">
        <v>136</v>
      </c>
      <c r="D202" s="197">
        <f>SUM(D194:D201)</f>
        <v>23.976329999999997</v>
      </c>
      <c r="E202" s="197">
        <f>SUM(E194:E201)</f>
        <v>26.194487925925927</v>
      </c>
    </row>
    <row r="203" spans="2:7" ht="18" outlineLevel="1">
      <c r="B203" s="210"/>
      <c r="C203" s="211" t="s">
        <v>137</v>
      </c>
      <c r="D203" s="212">
        <f>+D193+D202</f>
        <v>38.641189999999995</v>
      </c>
      <c r="E203" s="212">
        <f>+E193+E202</f>
        <v>45.2998233203948</v>
      </c>
      <c r="G203" s="188"/>
    </row>
    <row r="204" spans="3:5" ht="18" outlineLevel="1">
      <c r="C204" s="198"/>
      <c r="D204" s="213"/>
      <c r="E204" s="213"/>
    </row>
    <row r="205" spans="3:5" ht="12.75" outlineLevel="1">
      <c r="C205" s="186" t="s">
        <v>127</v>
      </c>
      <c r="D205" s="214">
        <f>+D193/$D$193*100</f>
        <v>100</v>
      </c>
      <c r="E205" s="214">
        <f>+E193/$D$193*100</f>
        <v>130.2796985069675</v>
      </c>
    </row>
    <row r="206" spans="3:8" ht="12.75" outlineLevel="1">
      <c r="C206" s="196" t="s">
        <v>136</v>
      </c>
      <c r="D206" s="214">
        <f>+D202/$D$202*100</f>
        <v>100</v>
      </c>
      <c r="E206" s="214">
        <f>+E202/$D$202*100</f>
        <v>109.25144893286809</v>
      </c>
      <c r="H206" s="188"/>
    </row>
    <row r="207" spans="3:8" ht="12.75" outlineLevel="1">
      <c r="C207" s="215" t="s">
        <v>137</v>
      </c>
      <c r="D207" s="214">
        <f>+D203/$D$203*100</f>
        <v>100</v>
      </c>
      <c r="E207" s="214">
        <f>+E203/$D$203*100</f>
        <v>117.23195719488662</v>
      </c>
      <c r="H207" s="216"/>
    </row>
    <row r="208" spans="3:7" ht="18" outlineLevel="1">
      <c r="C208" s="198"/>
      <c r="D208" s="213"/>
      <c r="E208" s="213"/>
      <c r="F208" s="213"/>
      <c r="G208" s="213"/>
    </row>
    <row r="209" ht="12.75" outlineLevel="1"/>
    <row r="210" ht="13.5" thickBot="1">
      <c r="G210" s="217"/>
    </row>
    <row r="211" spans="5:6" ht="12.75">
      <c r="E211" s="200" t="s">
        <v>138</v>
      </c>
      <c r="F211" s="201" t="s">
        <v>139</v>
      </c>
    </row>
    <row r="212" spans="2:6" ht="16.5" thickBot="1">
      <c r="B212" s="202" t="s">
        <v>147</v>
      </c>
      <c r="C212" s="170"/>
      <c r="D212" s="170"/>
      <c r="E212" s="203">
        <v>1.085</v>
      </c>
      <c r="F212" s="204">
        <v>4</v>
      </c>
    </row>
    <row r="213" ht="12.75" outlineLevel="1">
      <c r="C213" s="170" t="s">
        <v>149</v>
      </c>
    </row>
    <row r="214" spans="3:5" ht="33.75" outlineLevel="1">
      <c r="C214" s="178" t="s">
        <v>117</v>
      </c>
      <c r="D214" s="179" t="s">
        <v>118</v>
      </c>
      <c r="E214" s="179" t="s">
        <v>119</v>
      </c>
    </row>
    <row r="215" spans="2:5" ht="6" customHeight="1" outlineLevel="1" thickBot="1">
      <c r="B215" s="180"/>
      <c r="C215" s="180"/>
      <c r="D215" s="181"/>
      <c r="E215" s="181"/>
    </row>
    <row r="216" spans="2:5" ht="12.75" customHeight="1" outlineLevel="1">
      <c r="B216" s="229" t="s">
        <v>120</v>
      </c>
      <c r="C216" s="182" t="s">
        <v>121</v>
      </c>
      <c r="D216" s="205">
        <f aca="true" t="shared" si="5" ref="D216:E221">+D187</f>
        <v>5.485326</v>
      </c>
      <c r="E216" s="205">
        <f t="shared" si="5"/>
        <v>8.552838</v>
      </c>
    </row>
    <row r="217" spans="2:5" ht="12.75" outlineLevel="1">
      <c r="B217" s="230"/>
      <c r="C217" s="182" t="s">
        <v>122</v>
      </c>
      <c r="D217" s="205">
        <f t="shared" si="5"/>
        <v>3.538402</v>
      </c>
      <c r="E217" s="205">
        <f t="shared" si="5"/>
        <v>6.99825</v>
      </c>
    </row>
    <row r="218" spans="2:5" ht="12.75" outlineLevel="1">
      <c r="B218" s="230"/>
      <c r="C218" s="182" t="s">
        <v>123</v>
      </c>
      <c r="D218" s="205">
        <f t="shared" si="5"/>
        <v>3.7454199999999997</v>
      </c>
      <c r="E218" s="205">
        <f t="shared" si="5"/>
        <v>0</v>
      </c>
    </row>
    <row r="219" spans="2:5" ht="12.75" outlineLevel="1">
      <c r="B219" s="230"/>
      <c r="C219" s="182" t="s">
        <v>124</v>
      </c>
      <c r="D219" s="205">
        <f t="shared" si="5"/>
        <v>0</v>
      </c>
      <c r="E219" s="205">
        <f t="shared" si="5"/>
        <v>1.080185960744983</v>
      </c>
    </row>
    <row r="220" spans="2:5" ht="12.75" outlineLevel="1">
      <c r="B220" s="230"/>
      <c r="C220" s="182" t="s">
        <v>125</v>
      </c>
      <c r="D220" s="205">
        <f t="shared" si="5"/>
        <v>0.8237319999999999</v>
      </c>
      <c r="E220" s="205">
        <f t="shared" si="5"/>
        <v>1.2370307168619434</v>
      </c>
    </row>
    <row r="221" spans="2:5" ht="12.75" outlineLevel="1">
      <c r="B221" s="230"/>
      <c r="C221" s="182" t="s">
        <v>126</v>
      </c>
      <c r="D221" s="205">
        <f t="shared" si="5"/>
        <v>1.07198</v>
      </c>
      <c r="E221" s="205">
        <f t="shared" si="5"/>
        <v>1.2370307168619434</v>
      </c>
    </row>
    <row r="222" spans="2:7" ht="13.5" outlineLevel="1" thickBot="1">
      <c r="B222" s="234"/>
      <c r="C222" s="186" t="s">
        <v>127</v>
      </c>
      <c r="D222" s="206">
        <f>SUM(D216:D221)</f>
        <v>14.66486</v>
      </c>
      <c r="E222" s="206">
        <f>SUM(E216:E221)</f>
        <v>19.105335394468874</v>
      </c>
      <c r="F222"/>
      <c r="G222"/>
    </row>
    <row r="223" spans="2:7" ht="12.75" customHeight="1" outlineLevel="1">
      <c r="B223" s="229" t="s">
        <v>128</v>
      </c>
      <c r="C223" s="189" t="s">
        <v>129</v>
      </c>
      <c r="D223" s="207">
        <f>+D194</f>
        <v>0</v>
      </c>
      <c r="E223" s="209">
        <v>3.376820311899823</v>
      </c>
      <c r="F223"/>
      <c r="G223"/>
    </row>
    <row r="224" spans="2:5" ht="12.75" outlineLevel="1">
      <c r="B224" s="230"/>
      <c r="C224" s="192" t="s">
        <v>130</v>
      </c>
      <c r="D224" s="207">
        <f>+D195</f>
        <v>6.167574</v>
      </c>
      <c r="E224" s="208">
        <f>+E195</f>
        <v>7.208523</v>
      </c>
    </row>
    <row r="225" spans="2:5" ht="12.75" outlineLevel="1">
      <c r="B225" s="230"/>
      <c r="C225" s="192" t="s">
        <v>131</v>
      </c>
      <c r="D225" s="207">
        <f>+D196</f>
        <v>1.255779</v>
      </c>
      <c r="E225" s="208">
        <f>+E196</f>
        <v>1.083915</v>
      </c>
    </row>
    <row r="226" spans="2:5" ht="12.75" outlineLevel="1">
      <c r="B226" s="230"/>
      <c r="C226" s="192" t="s">
        <v>132</v>
      </c>
      <c r="D226" s="209">
        <f>+$D$152*1.2</f>
        <v>1.3019999999999998</v>
      </c>
      <c r="E226" s="209">
        <f>+$D$152*1.2</f>
        <v>1.3019999999999998</v>
      </c>
    </row>
    <row r="227" spans="2:5" ht="12.75" outlineLevel="1">
      <c r="B227" s="230"/>
      <c r="C227" s="192" t="s">
        <v>133</v>
      </c>
      <c r="D227" s="207">
        <f>+D198</f>
        <v>1.568259</v>
      </c>
      <c r="E227" s="208">
        <f>+E198</f>
        <v>0</v>
      </c>
    </row>
    <row r="228" spans="2:5" ht="12.75" outlineLevel="1">
      <c r="B228" s="230"/>
      <c r="C228" s="192" t="s">
        <v>134</v>
      </c>
      <c r="D228" s="207">
        <f>+D199</f>
        <v>0</v>
      </c>
      <c r="E228" s="209">
        <v>3.205099101175386</v>
      </c>
    </row>
    <row r="229" spans="2:5" ht="12.75" outlineLevel="1">
      <c r="B229" s="230"/>
      <c r="C229" s="192" t="s">
        <v>135</v>
      </c>
      <c r="D229" s="207">
        <f>+D200</f>
        <v>4.398156</v>
      </c>
      <c r="E229" s="207">
        <f>+E200</f>
        <v>6.0484409999999995</v>
      </c>
    </row>
    <row r="230" spans="2:5" ht="12.75" outlineLevel="1">
      <c r="B230" s="230"/>
      <c r="C230" s="192" t="s">
        <v>126</v>
      </c>
      <c r="D230" s="207">
        <f>+D201</f>
        <v>9.284562</v>
      </c>
      <c r="E230" s="207">
        <f>+E201</f>
        <v>9.284562</v>
      </c>
    </row>
    <row r="231" spans="2:7" ht="12.75" outlineLevel="1">
      <c r="B231" s="230"/>
      <c r="C231" s="196" t="s">
        <v>136</v>
      </c>
      <c r="D231" s="197">
        <f>SUM(D223:D230)</f>
        <v>23.976329999999997</v>
      </c>
      <c r="E231" s="197">
        <f>SUM(E223:E230)</f>
        <v>31.509360413075207</v>
      </c>
      <c r="G231" s="188"/>
    </row>
    <row r="232" spans="2:7" ht="18" outlineLevel="1">
      <c r="B232" s="210"/>
      <c r="C232" s="211" t="s">
        <v>137</v>
      </c>
      <c r="D232" s="212">
        <f>+D222+D231</f>
        <v>38.641189999999995</v>
      </c>
      <c r="E232" s="212">
        <f>+E222+E231</f>
        <v>50.61469580754408</v>
      </c>
      <c r="F232" s="217"/>
      <c r="G232" s="188"/>
    </row>
    <row r="233" ht="12.75" outlineLevel="1"/>
    <row r="234" spans="3:5" ht="12.75" outlineLevel="1">
      <c r="C234" s="186" t="s">
        <v>127</v>
      </c>
      <c r="D234" s="214">
        <f>+D222/$D$222*100</f>
        <v>100</v>
      </c>
      <c r="E234" s="214">
        <f>+E222/$D$222*100</f>
        <v>130.2796985069675</v>
      </c>
    </row>
    <row r="235" spans="3:5" ht="12.75" outlineLevel="1">
      <c r="C235" s="196" t="s">
        <v>136</v>
      </c>
      <c r="D235" s="214">
        <f>+D231/$D$231*100</f>
        <v>100</v>
      </c>
      <c r="E235" s="214">
        <f>+E231/$D$231*100</f>
        <v>131.418613328542</v>
      </c>
    </row>
    <row r="236" spans="3:5" ht="12.75" outlineLevel="1">
      <c r="C236" s="215" t="s">
        <v>137</v>
      </c>
      <c r="D236" s="214">
        <f>+D232/$D$232*100</f>
        <v>100</v>
      </c>
      <c r="E236" s="214">
        <f>+E232/$D$232*100</f>
        <v>130.98637957978025</v>
      </c>
    </row>
    <row r="237" ht="12.75" outlineLevel="1"/>
    <row r="238" ht="13.5" thickBot="1"/>
    <row r="239" ht="12.75">
      <c r="E239" s="218" t="s">
        <v>138</v>
      </c>
    </row>
    <row r="240" spans="2:5" ht="16.5" thickBot="1">
      <c r="B240" s="202" t="s">
        <v>148</v>
      </c>
      <c r="C240" s="170"/>
      <c r="D240" s="170"/>
      <c r="E240" s="219">
        <v>1.085</v>
      </c>
    </row>
    <row r="241" ht="12.75" outlineLevel="1"/>
    <row r="242" spans="3:5" ht="33.75" outlineLevel="1">
      <c r="C242" s="178" t="s">
        <v>117</v>
      </c>
      <c r="D242" s="179" t="s">
        <v>118</v>
      </c>
      <c r="E242" s="179" t="s">
        <v>119</v>
      </c>
    </row>
    <row r="243" spans="2:5" ht="12.75" outlineLevel="1">
      <c r="B243" s="220"/>
      <c r="C243" s="220"/>
      <c r="D243" s="181"/>
      <c r="E243" s="181"/>
    </row>
    <row r="244" spans="2:7" ht="12.75" customHeight="1" outlineLevel="1">
      <c r="B244" s="230" t="s">
        <v>120</v>
      </c>
      <c r="C244" s="221" t="s">
        <v>140</v>
      </c>
      <c r="D244" s="222">
        <v>15.583333333333334</v>
      </c>
      <c r="E244" s="222">
        <f>0.273*$D$244*1.25</f>
        <v>5.3178125000000005</v>
      </c>
      <c r="F244" s="223"/>
      <c r="G244" s="223"/>
    </row>
    <row r="245" spans="2:7" ht="12.75" outlineLevel="1">
      <c r="B245" s="230"/>
      <c r="C245" s="182" t="s">
        <v>141</v>
      </c>
      <c r="D245" s="205">
        <f>19.4434*$D$244*$E$240</f>
        <v>328.7473869166667</v>
      </c>
      <c r="E245" s="205">
        <f>76.8115*$E$244*$E$240</f>
        <v>443.18903300546873</v>
      </c>
      <c r="F245" s="223"/>
      <c r="G245" s="223"/>
    </row>
    <row r="246" spans="2:7" ht="12.75" outlineLevel="1">
      <c r="B246" s="230"/>
      <c r="C246" s="182" t="s">
        <v>142</v>
      </c>
      <c r="D246" s="205">
        <f>12.543*$D$244*$E$240</f>
        <v>212.07599875</v>
      </c>
      <c r="E246" s="205">
        <f>+$E$115*$E$244*$E$240</f>
        <v>307.23518669593756</v>
      </c>
      <c r="F246" s="223"/>
      <c r="G246" s="223"/>
    </row>
    <row r="247" spans="2:7" ht="12.75" outlineLevel="1">
      <c r="B247" s="230"/>
      <c r="C247" s="182" t="s">
        <v>123</v>
      </c>
      <c r="D247" s="205">
        <f>12.4041*$D$244*$E$240</f>
        <v>209.72748912499998</v>
      </c>
      <c r="E247" s="205">
        <v>0</v>
      </c>
      <c r="F247" s="223"/>
      <c r="G247" s="223"/>
    </row>
    <row r="248" spans="2:7" ht="12.75" outlineLevel="1">
      <c r="B248" s="230"/>
      <c r="C248" s="182" t="s">
        <v>124</v>
      </c>
      <c r="D248" s="205">
        <v>0</v>
      </c>
      <c r="E248" s="205">
        <f>+E136*$E$244*E240</f>
        <v>56.57982325087037</v>
      </c>
      <c r="F248" s="223"/>
      <c r="G248" s="223"/>
    </row>
    <row r="249" spans="2:7" ht="12.75" outlineLevel="1">
      <c r="B249" s="230"/>
      <c r="C249" s="182" t="s">
        <v>125</v>
      </c>
      <c r="D249" s="205">
        <f>2.919*$D$244*$E$240</f>
        <v>49.354208750000005</v>
      </c>
      <c r="E249" s="205">
        <f>+E146*$E$244*$E$240</f>
        <v>64.79530549320862</v>
      </c>
      <c r="F249" s="223"/>
      <c r="G249" s="223"/>
    </row>
    <row r="250" spans="2:7" ht="12.75" outlineLevel="1">
      <c r="B250" s="230"/>
      <c r="C250" s="182" t="s">
        <v>126</v>
      </c>
      <c r="D250" s="205">
        <f>3.8007*$D$244*$E$240</f>
        <v>64.261918875</v>
      </c>
      <c r="E250" s="205">
        <f>+E141*$E$244*$E$240</f>
        <v>62.923656428358825</v>
      </c>
      <c r="F250" s="223"/>
      <c r="G250" s="223"/>
    </row>
    <row r="251" spans="2:7" ht="13.5" outlineLevel="1" thickBot="1">
      <c r="B251" s="234"/>
      <c r="C251" s="224" t="s">
        <v>127</v>
      </c>
      <c r="D251" s="206">
        <f>SUM(D245:D250)</f>
        <v>864.1670024166667</v>
      </c>
      <c r="E251" s="206">
        <f>SUM(E245:E250)</f>
        <v>934.7230048738442</v>
      </c>
      <c r="F251" s="223"/>
      <c r="G251" s="223"/>
    </row>
    <row r="252" spans="2:7" ht="12.75" customHeight="1" outlineLevel="1">
      <c r="B252" s="229" t="s">
        <v>128</v>
      </c>
      <c r="C252" s="225" t="s">
        <v>143</v>
      </c>
      <c r="D252" s="226">
        <f>2866/12</f>
        <v>238.83333333333334</v>
      </c>
      <c r="E252" s="226">
        <f>+$D$252</f>
        <v>238.83333333333334</v>
      </c>
      <c r="F252" s="223"/>
      <c r="G252" s="223"/>
    </row>
    <row r="253" spans="2:7" ht="12.75" outlineLevel="1">
      <c r="B253" s="230"/>
      <c r="C253" s="192" t="s">
        <v>129</v>
      </c>
      <c r="D253" s="207">
        <v>0</v>
      </c>
      <c r="E253" s="207">
        <v>67.3948628716294</v>
      </c>
      <c r="F253" s="223"/>
      <c r="G253" s="223"/>
    </row>
    <row r="254" spans="2:7" ht="12.75" outlineLevel="1">
      <c r="B254" s="230"/>
      <c r="C254" s="192" t="s">
        <v>130</v>
      </c>
      <c r="D254" s="207">
        <f>0.444*$D$252*$E$240</f>
        <v>115.05557</v>
      </c>
      <c r="E254" s="207">
        <f>+E95*$E$252*$E$240</f>
        <v>95.64642091666667</v>
      </c>
      <c r="F254" s="223"/>
      <c r="G254" s="223"/>
    </row>
    <row r="255" spans="2:7" ht="12.75" outlineLevel="1">
      <c r="B255" s="230"/>
      <c r="C255" s="192" t="s">
        <v>131</v>
      </c>
      <c r="D255" s="207">
        <f>0.0643*$D$252*$E$240</f>
        <v>16.662326916666668</v>
      </c>
      <c r="E255" s="207">
        <f>0.0555*$E$252*$E$240</f>
        <v>14.38194625</v>
      </c>
      <c r="F255" s="223"/>
      <c r="G255" s="223"/>
    </row>
    <row r="256" spans="2:7" ht="12.75" outlineLevel="1">
      <c r="B256" s="230"/>
      <c r="C256" s="192" t="s">
        <v>132</v>
      </c>
      <c r="D256" s="209">
        <f>+$D$152*1.2</f>
        <v>1.3019999999999998</v>
      </c>
      <c r="E256" s="209">
        <f>+$D$152*1.2</f>
        <v>1.3019999999999998</v>
      </c>
      <c r="F256" s="223"/>
      <c r="G256" s="223"/>
    </row>
    <row r="257" spans="2:7" ht="12.75" outlineLevel="1">
      <c r="B257" s="230"/>
      <c r="C257" s="192" t="s">
        <v>133</v>
      </c>
      <c r="D257" s="207">
        <f>0.0684*$D$252*$E$240</f>
        <v>17.724777</v>
      </c>
      <c r="E257" s="207">
        <v>0</v>
      </c>
      <c r="F257" s="223"/>
      <c r="G257" s="223"/>
    </row>
    <row r="258" spans="2:7" ht="12.75" outlineLevel="1">
      <c r="B258" s="230"/>
      <c r="C258" s="192" t="s">
        <v>134</v>
      </c>
      <c r="D258" s="207">
        <v>0</v>
      </c>
      <c r="E258" s="207">
        <v>63.96763655220097</v>
      </c>
      <c r="F258" s="223"/>
      <c r="G258" s="223"/>
    </row>
    <row r="259" spans="2:7" ht="12.75" outlineLevel="1">
      <c r="B259" s="230"/>
      <c r="C259" s="192" t="s">
        <v>135</v>
      </c>
      <c r="D259" s="207">
        <f>0.3724*$D$252*$E$240</f>
        <v>96.50156366666667</v>
      </c>
      <c r="E259" s="207">
        <f>+E103*$E$252*$E$240</f>
        <v>80.25385141666666</v>
      </c>
      <c r="F259" s="223"/>
      <c r="G259" s="223"/>
    </row>
    <row r="260" spans="2:7" ht="12.75" outlineLevel="1">
      <c r="B260" s="230"/>
      <c r="C260" s="192" t="s">
        <v>126</v>
      </c>
      <c r="D260" s="207">
        <f>0.4754*$D$252*$E$240</f>
        <v>123.19238283333334</v>
      </c>
      <c r="E260" s="207">
        <f>0.4754*$E$252*$E$240</f>
        <v>123.19238283333334</v>
      </c>
      <c r="F260" s="223"/>
      <c r="G260" s="223"/>
    </row>
    <row r="261" spans="2:7" ht="12.75" outlineLevel="1">
      <c r="B261" s="230"/>
      <c r="C261" s="196" t="s">
        <v>136</v>
      </c>
      <c r="D261" s="197">
        <f>SUM(D253:D260)</f>
        <v>370.43862041666665</v>
      </c>
      <c r="E261" s="197">
        <f>SUM(E253:E260)</f>
        <v>446.139100840497</v>
      </c>
      <c r="F261" s="223"/>
      <c r="G261" s="223"/>
    </row>
    <row r="262" spans="2:7" ht="18" outlineLevel="1">
      <c r="B262" s="210"/>
      <c r="C262" s="211" t="s">
        <v>137</v>
      </c>
      <c r="D262" s="212">
        <f>+D251+D261</f>
        <v>1234.6056228333334</v>
      </c>
      <c r="E262" s="212">
        <f>+E251+E261</f>
        <v>1380.8621057143412</v>
      </c>
      <c r="F262" s="223"/>
      <c r="G262" s="223"/>
    </row>
    <row r="263" ht="12.75" outlineLevel="1"/>
    <row r="264" spans="3:5" ht="12.75" outlineLevel="1">
      <c r="C264" s="186" t="s">
        <v>127</v>
      </c>
      <c r="D264" s="214">
        <f>+D251/$D$251*100</f>
        <v>100</v>
      </c>
      <c r="E264" s="214">
        <f>+E251/$D$251*100</f>
        <v>108.16462584892336</v>
      </c>
    </row>
    <row r="265" spans="3:5" ht="12.75" outlineLevel="1">
      <c r="C265" s="196" t="s">
        <v>136</v>
      </c>
      <c r="D265" s="214">
        <f>+D261/$D$261*100</f>
        <v>100</v>
      </c>
      <c r="E265" s="214">
        <f>+E261/$D$261*100</f>
        <v>120.4353639851814</v>
      </c>
    </row>
    <row r="266" spans="3:5" ht="12.75" outlineLevel="1">
      <c r="C266" s="215" t="s">
        <v>137</v>
      </c>
      <c r="D266" s="214">
        <f>+D262/$D$262*100</f>
        <v>100</v>
      </c>
      <c r="E266" s="214">
        <f>+E262/$D$262*100</f>
        <v>111.8464131521902</v>
      </c>
    </row>
    <row r="270" ht="12.75">
      <c r="F270" s="188"/>
    </row>
  </sheetData>
  <mergeCells count="11">
    <mergeCell ref="B93:B99"/>
    <mergeCell ref="B101:B107"/>
    <mergeCell ref="B109:B127"/>
    <mergeCell ref="B171:B179"/>
    <mergeCell ref="B164:B170"/>
    <mergeCell ref="B252:B261"/>
    <mergeCell ref="B187:B193"/>
    <mergeCell ref="B194:B202"/>
    <mergeCell ref="B216:B222"/>
    <mergeCell ref="B223:B231"/>
    <mergeCell ref="B244:B251"/>
  </mergeCells>
  <printOptions gridLines="1" horizontalCentered="1" verticalCentered="1"/>
  <pageMargins left="0.26" right="0.97" top="0.81" bottom="0.35433070866141736" header="0.23" footer="0"/>
  <pageSetup fitToWidth="6" horizontalDpi="600" verticalDpi="600" orientation="landscape" paperSize="9" scale="99" r:id="rId4"/>
  <headerFooter alignWithMargins="0">
    <oddHeader>&amp;L&amp;A&amp;C&amp;BSIRD d.o.o. Zaupno&amp;B&amp;RStran &amp;P</oddHeader>
  </headerFooter>
  <rowBreaks count="7" manualBreakCount="7">
    <brk id="30" max="5" man="1"/>
    <brk id="58" max="5" man="1"/>
    <brk id="129" max="11" man="1"/>
    <brk id="148" max="11" man="1"/>
    <brk id="183" max="11" man="1"/>
    <brk id="213" max="11" man="1"/>
    <brk id="241" max="11" man="1"/>
  </rowBreaks>
  <colBreaks count="1" manualBreakCount="1">
    <brk id="9" min="90" max="27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>
    <tabColor indexed="57"/>
  </sheetPr>
  <dimension ref="B2:H270"/>
  <sheetViews>
    <sheetView view="pageBreakPreview" zoomScale="60" workbookViewId="0" topLeftCell="A148">
      <selection activeCell="G185" sqref="G185"/>
    </sheetView>
  </sheetViews>
  <sheetFormatPr defaultColWidth="9.00390625" defaultRowHeight="12.75" outlineLevelRow="1"/>
  <cols>
    <col min="1" max="1" width="3.00390625" style="3" customWidth="1"/>
    <col min="2" max="2" width="2.875" style="3" customWidth="1"/>
    <col min="3" max="3" width="53.25390625" style="3" customWidth="1"/>
    <col min="4" max="4" width="20.25390625" style="3" customWidth="1"/>
    <col min="5" max="5" width="19.25390625" style="3" customWidth="1"/>
    <col min="6" max="6" width="18.625" style="3" customWidth="1"/>
    <col min="7" max="7" width="9.625" style="3" customWidth="1"/>
    <col min="8" max="8" width="12.375" style="3" customWidth="1"/>
    <col min="9" max="9" width="11.875" style="3" customWidth="1"/>
    <col min="10" max="11" width="13.75390625" style="3" customWidth="1"/>
    <col min="12" max="12" width="10.75390625" style="3" customWidth="1"/>
    <col min="13" max="13" width="10.375" style="3" customWidth="1"/>
    <col min="14" max="14" width="10.75390625" style="3" hidden="1" customWidth="1"/>
    <col min="15" max="15" width="10.75390625" style="3" customWidth="1"/>
    <col min="16" max="16384" width="9.125" style="3" customWidth="1"/>
  </cols>
  <sheetData>
    <row r="1" ht="12.75"/>
    <row r="2" spans="3:6" ht="24" thickBot="1">
      <c r="C2" s="1" t="s">
        <v>0</v>
      </c>
      <c r="D2" s="2"/>
      <c r="E2" s="2"/>
      <c r="F2"/>
    </row>
    <row r="3" spans="3:6" ht="39" outlineLevel="1" thickBot="1">
      <c r="C3" s="4" t="s">
        <v>1</v>
      </c>
      <c r="D3" s="5" t="s">
        <v>2</v>
      </c>
      <c r="E3" s="6" t="s">
        <v>3</v>
      </c>
      <c r="F3" s="7" t="s">
        <v>4</v>
      </c>
    </row>
    <row r="4" spans="3:6" ht="12.75" outlineLevel="1">
      <c r="C4" s="8" t="s">
        <v>5</v>
      </c>
      <c r="D4" s="9">
        <v>70776</v>
      </c>
      <c r="E4" s="10">
        <v>88750</v>
      </c>
      <c r="F4" s="10">
        <f>SUM(F5+F9)</f>
        <v>64890</v>
      </c>
    </row>
    <row r="5" spans="3:6" ht="12.75" outlineLevel="1">
      <c r="C5" s="11" t="s">
        <v>6</v>
      </c>
      <c r="D5" s="12">
        <v>19890</v>
      </c>
      <c r="E5" s="13">
        <v>12620</v>
      </c>
      <c r="F5" s="13">
        <f>SUM(F6:F8)</f>
        <v>12620</v>
      </c>
    </row>
    <row r="6" spans="3:6" ht="12.75" outlineLevel="1">
      <c r="C6" s="14" t="s">
        <v>7</v>
      </c>
      <c r="D6" s="15">
        <v>4268</v>
      </c>
      <c r="E6" s="16">
        <v>3780</v>
      </c>
      <c r="F6" s="13">
        <v>3780</v>
      </c>
    </row>
    <row r="7" spans="3:6" ht="12.75" outlineLevel="1">
      <c r="C7" s="14" t="s">
        <v>8</v>
      </c>
      <c r="D7" s="15">
        <v>0</v>
      </c>
      <c r="E7" s="16">
        <v>80</v>
      </c>
      <c r="F7" s="13">
        <v>80</v>
      </c>
    </row>
    <row r="8" spans="3:6" ht="12.75" outlineLevel="1">
      <c r="C8" s="14" t="s">
        <v>9</v>
      </c>
      <c r="D8" s="15">
        <v>15621</v>
      </c>
      <c r="E8" s="16">
        <v>8760</v>
      </c>
      <c r="F8" s="13">
        <v>8760</v>
      </c>
    </row>
    <row r="9" spans="3:6" ht="12.75" outlineLevel="1">
      <c r="C9" s="11" t="s">
        <v>10</v>
      </c>
      <c r="D9" s="12">
        <v>59886</v>
      </c>
      <c r="E9" s="13">
        <v>76130</v>
      </c>
      <c r="F9" s="13">
        <f>SUM(F10:F17)</f>
        <v>52270</v>
      </c>
    </row>
    <row r="10" spans="3:6" ht="12.75" outlineLevel="1">
      <c r="C10" s="14" t="s">
        <v>11</v>
      </c>
      <c r="D10" s="15">
        <v>12627</v>
      </c>
      <c r="E10" s="16">
        <v>18490</v>
      </c>
      <c r="F10" s="13">
        <v>8490</v>
      </c>
    </row>
    <row r="11" spans="3:6" ht="12.75" outlineLevel="1">
      <c r="C11" s="14" t="s">
        <v>12</v>
      </c>
      <c r="D11" s="15">
        <v>1624</v>
      </c>
      <c r="E11" s="16">
        <v>160</v>
      </c>
      <c r="F11" s="13">
        <v>160</v>
      </c>
    </row>
    <row r="12" spans="3:6" ht="12.75" outlineLevel="1">
      <c r="C12" s="14" t="s">
        <v>13</v>
      </c>
      <c r="D12" s="15">
        <v>5283</v>
      </c>
      <c r="E12" s="16">
        <v>6830</v>
      </c>
      <c r="F12" s="13">
        <v>6830</v>
      </c>
    </row>
    <row r="13" spans="3:6" ht="12.75" outlineLevel="1">
      <c r="C13" s="14" t="s">
        <v>14</v>
      </c>
      <c r="D13" s="15">
        <v>14158</v>
      </c>
      <c r="E13" s="16">
        <v>27500</v>
      </c>
      <c r="F13" s="13">
        <v>27500</v>
      </c>
    </row>
    <row r="14" spans="3:6" ht="12.75" outlineLevel="1">
      <c r="C14" s="14" t="s">
        <v>15</v>
      </c>
      <c r="D14" s="15">
        <v>3392</v>
      </c>
      <c r="E14" s="16">
        <v>1790</v>
      </c>
      <c r="F14" s="13">
        <v>1790</v>
      </c>
    </row>
    <row r="15" spans="3:6" ht="12.75" outlineLevel="1">
      <c r="C15" s="14" t="s">
        <v>16</v>
      </c>
      <c r="D15" s="15">
        <v>2217</v>
      </c>
      <c r="E15" s="16">
        <v>13860</v>
      </c>
      <c r="F15" s="13">
        <v>0</v>
      </c>
    </row>
    <row r="16" spans="3:6" ht="12.75" outlineLevel="1">
      <c r="C16" s="14" t="s">
        <v>17</v>
      </c>
      <c r="D16" s="15">
        <v>6388</v>
      </c>
      <c r="E16" s="16">
        <v>7190</v>
      </c>
      <c r="F16" s="13">
        <v>7190</v>
      </c>
    </row>
    <row r="17" spans="3:6" ht="12.75" outlineLevel="1">
      <c r="C17" s="14" t="s">
        <v>18</v>
      </c>
      <c r="D17" s="15">
        <v>5197</v>
      </c>
      <c r="E17" s="16">
        <v>310</v>
      </c>
      <c r="F17" s="13">
        <v>310</v>
      </c>
    </row>
    <row r="18" spans="3:6" ht="12.75" outlineLevel="1">
      <c r="C18" s="17" t="s">
        <v>19</v>
      </c>
      <c r="D18" s="18">
        <v>27880</v>
      </c>
      <c r="E18" s="19">
        <v>33410</v>
      </c>
      <c r="F18" s="20">
        <f>SUM(F19:F21)</f>
        <v>21910</v>
      </c>
    </row>
    <row r="19" spans="3:6" ht="12.75" outlineLevel="1">
      <c r="C19" s="21" t="s">
        <v>20</v>
      </c>
      <c r="D19" s="22">
        <v>1504</v>
      </c>
      <c r="E19" s="23">
        <v>1710</v>
      </c>
      <c r="F19" s="13">
        <v>1710</v>
      </c>
    </row>
    <row r="20" spans="3:6" ht="12.75" outlineLevel="1">
      <c r="C20" s="21" t="s">
        <v>21</v>
      </c>
      <c r="D20" s="22">
        <v>24119</v>
      </c>
      <c r="E20" s="23">
        <v>29130</v>
      </c>
      <c r="F20" s="13">
        <v>17630</v>
      </c>
    </row>
    <row r="21" spans="3:6" ht="12.75" outlineLevel="1">
      <c r="C21" s="21" t="s">
        <v>22</v>
      </c>
      <c r="D21" s="22">
        <v>2256</v>
      </c>
      <c r="E21" s="23">
        <v>2570</v>
      </c>
      <c r="F21" s="13">
        <v>2570</v>
      </c>
    </row>
    <row r="22" spans="3:6" ht="12.75" outlineLevel="1">
      <c r="C22" s="17" t="s">
        <v>23</v>
      </c>
      <c r="D22" s="24">
        <v>0</v>
      </c>
      <c r="E22" s="19">
        <v>0</v>
      </c>
      <c r="F22" s="13">
        <v>0</v>
      </c>
    </row>
    <row r="23" spans="3:6" ht="15.75" outlineLevel="1">
      <c r="C23" s="25" t="s">
        <v>24</v>
      </c>
      <c r="D23" s="26">
        <v>98655</v>
      </c>
      <c r="E23" s="27">
        <v>122160</v>
      </c>
      <c r="F23" s="28">
        <f>F4+F18+F22</f>
        <v>86800</v>
      </c>
    </row>
    <row r="24" spans="3:6" ht="12.75" outlineLevel="1">
      <c r="C24" s="17" t="s">
        <v>25</v>
      </c>
      <c r="D24" s="29">
        <v>334132</v>
      </c>
      <c r="E24" s="30">
        <v>331000</v>
      </c>
      <c r="F24" s="30">
        <v>331000</v>
      </c>
    </row>
    <row r="25" spans="3:6" ht="15.75" outlineLevel="1">
      <c r="C25" s="25" t="s">
        <v>26</v>
      </c>
      <c r="D25" s="31">
        <f>D23/D24</f>
        <v>0.2952575628793411</v>
      </c>
      <c r="E25" s="32">
        <f>E23/E24</f>
        <v>0.36906344410876135</v>
      </c>
      <c r="F25" s="33">
        <f>F23/F24</f>
        <v>0.2622356495468278</v>
      </c>
    </row>
    <row r="26" spans="3:6" ht="13.5" outlineLevel="1" thickBot="1">
      <c r="C26" s="34" t="s">
        <v>27</v>
      </c>
      <c r="D26" s="35">
        <f>D25*1.085</f>
        <v>0.32035445572408505</v>
      </c>
      <c r="E26" s="36">
        <f>E25*1.085</f>
        <v>0.40043383685800604</v>
      </c>
      <c r="F26" s="37">
        <f>F25*1.085</f>
        <v>0.28452567975830817</v>
      </c>
    </row>
    <row r="27" spans="3:6" ht="30.75" outlineLevel="1" thickTop="1">
      <c r="C27" s="38" t="s">
        <v>28</v>
      </c>
      <c r="D27" s="39">
        <v>1.9327</v>
      </c>
      <c r="E27" s="40"/>
      <c r="F27" s="41">
        <v>1.9327</v>
      </c>
    </row>
    <row r="28" spans="3:6" ht="12.75" outlineLevel="1">
      <c r="C28" s="14" t="s">
        <v>29</v>
      </c>
      <c r="D28" s="42">
        <v>2.097</v>
      </c>
      <c r="E28" s="43"/>
      <c r="F28" s="44">
        <v>2.097</v>
      </c>
    </row>
    <row r="29" ht="12.75"/>
    <row r="30" ht="12.75"/>
    <row r="31" spans="3:6" ht="24" thickBot="1">
      <c r="C31" s="1" t="s">
        <v>30</v>
      </c>
      <c r="D31" s="45"/>
      <c r="E31" s="45"/>
      <c r="F31"/>
    </row>
    <row r="32" spans="3:6" ht="39" outlineLevel="1" thickBot="1">
      <c r="C32" s="4" t="s">
        <v>1</v>
      </c>
      <c r="D32" s="46" t="s">
        <v>31</v>
      </c>
      <c r="E32" s="47" t="s">
        <v>32</v>
      </c>
      <c r="F32" s="47" t="s">
        <v>4</v>
      </c>
    </row>
    <row r="33" spans="3:6" ht="12.75" outlineLevel="1">
      <c r="C33" s="8" t="s">
        <v>5</v>
      </c>
      <c r="D33" s="48">
        <v>46885</v>
      </c>
      <c r="E33" s="49">
        <v>68320</v>
      </c>
      <c r="F33" s="50">
        <f>SUM(F34+F38+F51)</f>
        <v>49970</v>
      </c>
    </row>
    <row r="34" spans="3:6" ht="12.75" outlineLevel="1">
      <c r="C34" s="11" t="s">
        <v>6</v>
      </c>
      <c r="D34" s="51">
        <v>4827</v>
      </c>
      <c r="E34" s="52">
        <v>6290</v>
      </c>
      <c r="F34" s="53">
        <v>6290</v>
      </c>
    </row>
    <row r="35" spans="3:6" ht="12.75" outlineLevel="1">
      <c r="C35" s="14" t="s">
        <v>7</v>
      </c>
      <c r="D35" s="54">
        <v>3674</v>
      </c>
      <c r="E35" s="55">
        <v>1700</v>
      </c>
      <c r="F35" s="53">
        <v>1700</v>
      </c>
    </row>
    <row r="36" spans="3:6" ht="12.75" outlineLevel="1">
      <c r="C36" s="14" t="s">
        <v>8</v>
      </c>
      <c r="D36" s="54">
        <v>0</v>
      </c>
      <c r="E36" s="55">
        <v>2030</v>
      </c>
      <c r="F36" s="53">
        <v>2030</v>
      </c>
    </row>
    <row r="37" spans="3:6" ht="12.75" outlineLevel="1">
      <c r="C37" s="14" t="s">
        <v>9</v>
      </c>
      <c r="D37" s="54">
        <v>1152</v>
      </c>
      <c r="E37" s="55">
        <v>2560</v>
      </c>
      <c r="F37" s="53">
        <v>2560</v>
      </c>
    </row>
    <row r="38" spans="3:6" ht="12.75" outlineLevel="1">
      <c r="C38" s="11" t="s">
        <v>10</v>
      </c>
      <c r="D38" s="51">
        <v>42058</v>
      </c>
      <c r="E38" s="52">
        <v>62030</v>
      </c>
      <c r="F38" s="53">
        <f>SUM(F39:F46)</f>
        <v>43680</v>
      </c>
    </row>
    <row r="39" spans="3:6" ht="12.75" outlineLevel="1">
      <c r="C39" s="14" t="s">
        <v>11</v>
      </c>
      <c r="D39" s="54">
        <v>4059</v>
      </c>
      <c r="E39" s="55">
        <v>8650</v>
      </c>
      <c r="F39" s="53">
        <v>3650</v>
      </c>
    </row>
    <row r="40" spans="3:6" ht="12.75" outlineLevel="1">
      <c r="C40" s="14" t="s">
        <v>12</v>
      </c>
      <c r="D40" s="54">
        <v>1</v>
      </c>
      <c r="E40" s="55">
        <v>110</v>
      </c>
      <c r="F40" s="53">
        <v>110</v>
      </c>
    </row>
    <row r="41" spans="3:6" ht="12.75" outlineLevel="1">
      <c r="C41" s="14" t="s">
        <v>13</v>
      </c>
      <c r="D41" s="54">
        <v>3357</v>
      </c>
      <c r="E41" s="55">
        <v>4940</v>
      </c>
      <c r="F41" s="53">
        <v>4940</v>
      </c>
    </row>
    <row r="42" spans="3:6" ht="12.75" outlineLevel="1">
      <c r="C42" s="14" t="s">
        <v>14</v>
      </c>
      <c r="D42" s="54">
        <v>15161</v>
      </c>
      <c r="E42" s="55">
        <v>18280</v>
      </c>
      <c r="F42" s="53">
        <v>18280</v>
      </c>
    </row>
    <row r="43" spans="3:6" ht="12.75" outlineLevel="1">
      <c r="C43" s="14" t="s">
        <v>15</v>
      </c>
      <c r="D43" s="56">
        <v>7483</v>
      </c>
      <c r="E43" s="55">
        <v>6390</v>
      </c>
      <c r="F43" s="53">
        <v>6390</v>
      </c>
    </row>
    <row r="44" spans="3:6" ht="12.75" outlineLevel="1">
      <c r="C44" s="14" t="s">
        <v>16</v>
      </c>
      <c r="D44" s="56">
        <v>0</v>
      </c>
      <c r="E44" s="55">
        <v>13350</v>
      </c>
      <c r="F44" s="53">
        <v>0</v>
      </c>
    </row>
    <row r="45" spans="3:6" ht="12.75" outlineLevel="1">
      <c r="C45" s="14" t="s">
        <v>17</v>
      </c>
      <c r="D45" s="56">
        <v>7547</v>
      </c>
      <c r="E45" s="55">
        <v>10060</v>
      </c>
      <c r="F45" s="53">
        <v>10060</v>
      </c>
    </row>
    <row r="46" spans="3:6" ht="12.75" outlineLevel="1">
      <c r="C46" s="14" t="s">
        <v>18</v>
      </c>
      <c r="D46" s="56">
        <v>4451</v>
      </c>
      <c r="E46" s="55">
        <v>250</v>
      </c>
      <c r="F46" s="53">
        <v>250</v>
      </c>
    </row>
    <row r="47" spans="3:6" ht="12.75" outlineLevel="1">
      <c r="C47" s="17" t="s">
        <v>19</v>
      </c>
      <c r="D47" s="57">
        <v>16869</v>
      </c>
      <c r="E47" s="58">
        <v>24910</v>
      </c>
      <c r="F47" s="59">
        <f>SUM(F48:F50)</f>
        <v>14910</v>
      </c>
    </row>
    <row r="48" spans="3:6" ht="12.75" outlineLevel="1">
      <c r="C48" s="21" t="s">
        <v>20</v>
      </c>
      <c r="D48" s="56">
        <v>910</v>
      </c>
      <c r="E48" s="60">
        <v>1280</v>
      </c>
      <c r="F48" s="53">
        <v>1280</v>
      </c>
    </row>
    <row r="49" spans="3:6" ht="12.75" outlineLevel="1">
      <c r="C49" s="21" t="s">
        <v>21</v>
      </c>
      <c r="D49" s="56">
        <v>14594</v>
      </c>
      <c r="E49" s="60">
        <v>21710</v>
      </c>
      <c r="F49" s="53">
        <v>11710</v>
      </c>
    </row>
    <row r="50" spans="3:6" ht="12.75" outlineLevel="1">
      <c r="C50" s="21" t="s">
        <v>22</v>
      </c>
      <c r="D50" s="56">
        <v>1365</v>
      </c>
      <c r="E50" s="60">
        <v>1920</v>
      </c>
      <c r="F50" s="53">
        <v>1920</v>
      </c>
    </row>
    <row r="51" spans="3:6" ht="12.75" outlineLevel="1">
      <c r="C51" s="17" t="s">
        <v>23</v>
      </c>
      <c r="D51" s="57">
        <v>0</v>
      </c>
      <c r="E51" s="61">
        <v>0</v>
      </c>
      <c r="F51" s="53">
        <v>0</v>
      </c>
    </row>
    <row r="52" spans="3:6" ht="15.75" outlineLevel="1">
      <c r="C52" s="25" t="s">
        <v>24</v>
      </c>
      <c r="D52" s="26">
        <v>63754</v>
      </c>
      <c r="E52" s="62">
        <v>93230</v>
      </c>
      <c r="F52" s="59">
        <f>SUM(F34+F38+F47+F51)</f>
        <v>64880</v>
      </c>
    </row>
    <row r="53" spans="3:6" ht="12.75" outlineLevel="1">
      <c r="C53" s="17" t="s">
        <v>33</v>
      </c>
      <c r="D53" s="29">
        <v>302346</v>
      </c>
      <c r="E53" s="63">
        <v>301000</v>
      </c>
      <c r="F53" s="63">
        <v>302346</v>
      </c>
    </row>
    <row r="54" spans="3:6" ht="15.75" outlineLevel="1">
      <c r="C54" s="25" t="s">
        <v>26</v>
      </c>
      <c r="D54" s="64">
        <f>D52/D53</f>
        <v>0.21086437392920693</v>
      </c>
      <c r="E54" s="65">
        <f>E52/E53</f>
        <v>0.309734219269103</v>
      </c>
      <c r="F54" s="66">
        <f>F52/F53</f>
        <v>0.21458858394025387</v>
      </c>
    </row>
    <row r="55" spans="3:6" ht="13.5" outlineLevel="1" thickBot="1">
      <c r="C55" s="34" t="s">
        <v>27</v>
      </c>
      <c r="D55" s="35">
        <f>D54*1.085</f>
        <v>0.2287878457131895</v>
      </c>
      <c r="E55" s="67">
        <f>E54*1.085</f>
        <v>0.33606162790697675</v>
      </c>
      <c r="F55" s="68">
        <f>F54*1.085</f>
        <v>0.23282861357517545</v>
      </c>
    </row>
    <row r="56" spans="3:6" ht="30.75" outlineLevel="1" thickTop="1">
      <c r="C56" s="38" t="s">
        <v>34</v>
      </c>
      <c r="D56" s="69">
        <v>1.759</v>
      </c>
      <c r="E56" s="70"/>
      <c r="F56" s="71">
        <v>1.759</v>
      </c>
    </row>
    <row r="57" spans="3:6" ht="12.75" outlineLevel="1">
      <c r="C57" s="14" t="s">
        <v>35</v>
      </c>
      <c r="D57" s="72">
        <f>D56*1.085</f>
        <v>1.9085149999999997</v>
      </c>
      <c r="E57" s="73"/>
      <c r="F57" s="66">
        <f>F56*1.085</f>
        <v>1.9085149999999997</v>
      </c>
    </row>
    <row r="58" ht="12.75"/>
    <row r="59" ht="12.75"/>
    <row r="60" spans="3:6" ht="24" thickBot="1">
      <c r="C60" s="1" t="s">
        <v>36</v>
      </c>
      <c r="D60" s="1"/>
      <c r="E60" s="1"/>
      <c r="F60"/>
    </row>
    <row r="61" spans="3:6" ht="39" outlineLevel="1" thickBot="1">
      <c r="C61" s="4" t="s">
        <v>37</v>
      </c>
      <c r="D61" s="46" t="s">
        <v>38</v>
      </c>
      <c r="E61" s="74" t="s">
        <v>3</v>
      </c>
      <c r="F61" s="74" t="s">
        <v>39</v>
      </c>
    </row>
    <row r="62" spans="3:6" ht="12.75" outlineLevel="1">
      <c r="C62" s="8" t="s">
        <v>40</v>
      </c>
      <c r="D62" s="75">
        <v>34020</v>
      </c>
      <c r="E62" s="76">
        <v>40376</v>
      </c>
      <c r="F62" s="77">
        <v>34020</v>
      </c>
    </row>
    <row r="63" spans="3:6" ht="12.75" outlineLevel="1">
      <c r="C63" s="17" t="s">
        <v>41</v>
      </c>
      <c r="D63" s="75">
        <v>102824</v>
      </c>
      <c r="E63" s="76">
        <v>108720</v>
      </c>
      <c r="F63" s="78">
        <f>SUM(F64+F78+F82)</f>
        <v>85196</v>
      </c>
    </row>
    <row r="64" spans="3:6" ht="12.75" outlineLevel="1">
      <c r="C64" s="17" t="s">
        <v>5</v>
      </c>
      <c r="D64" s="75">
        <v>78718</v>
      </c>
      <c r="E64" s="76">
        <v>81780</v>
      </c>
      <c r="F64" s="78">
        <f>SUM(F65+F69)</f>
        <v>61090</v>
      </c>
    </row>
    <row r="65" spans="3:6" ht="12.75" outlineLevel="1">
      <c r="C65" s="11" t="s">
        <v>6</v>
      </c>
      <c r="D65" s="75">
        <v>2519</v>
      </c>
      <c r="E65" s="76">
        <v>3260</v>
      </c>
      <c r="F65" s="79">
        <f>SUM(F66:F68)</f>
        <v>3260</v>
      </c>
    </row>
    <row r="66" spans="3:6" ht="12.75" outlineLevel="1">
      <c r="C66" s="14" t="s">
        <v>42</v>
      </c>
      <c r="D66" s="75">
        <v>434</v>
      </c>
      <c r="E66" s="76">
        <v>1220</v>
      </c>
      <c r="F66" s="79">
        <v>1220</v>
      </c>
    </row>
    <row r="67" spans="3:6" ht="12.75" outlineLevel="1">
      <c r="C67" s="14" t="s">
        <v>43</v>
      </c>
      <c r="D67" s="75">
        <v>86</v>
      </c>
      <c r="E67" s="76">
        <v>130</v>
      </c>
      <c r="F67" s="79">
        <v>130</v>
      </c>
    </row>
    <row r="68" spans="3:6" ht="12.75" outlineLevel="1">
      <c r="C68" s="14" t="s">
        <v>44</v>
      </c>
      <c r="D68" s="75">
        <v>1999</v>
      </c>
      <c r="E68" s="76">
        <v>1910</v>
      </c>
      <c r="F68" s="79">
        <v>1910</v>
      </c>
    </row>
    <row r="69" spans="3:6" ht="12.75" outlineLevel="1">
      <c r="C69" s="11" t="s">
        <v>45</v>
      </c>
      <c r="D69" s="75">
        <v>76200</v>
      </c>
      <c r="E69" s="76">
        <v>78520</v>
      </c>
      <c r="F69" s="79">
        <f>SUM(F70:F77)</f>
        <v>57830</v>
      </c>
    </row>
    <row r="70" spans="3:6" ht="12.75" outlineLevel="1">
      <c r="C70" s="14" t="s">
        <v>46</v>
      </c>
      <c r="D70" s="75">
        <v>10289</v>
      </c>
      <c r="E70" s="76">
        <v>13010</v>
      </c>
      <c r="F70" s="79">
        <v>10289</v>
      </c>
    </row>
    <row r="71" spans="3:6" ht="12.75" outlineLevel="1">
      <c r="C71" s="14" t="s">
        <v>47</v>
      </c>
      <c r="D71" s="75">
        <v>34</v>
      </c>
      <c r="E71" s="76">
        <v>790</v>
      </c>
      <c r="F71" s="79">
        <v>34</v>
      </c>
    </row>
    <row r="72" spans="3:6" ht="12.75" outlineLevel="1">
      <c r="C72" s="14" t="s">
        <v>48</v>
      </c>
      <c r="D72" s="75">
        <v>9894</v>
      </c>
      <c r="E72" s="76">
        <v>10880</v>
      </c>
      <c r="F72" s="79">
        <v>9894</v>
      </c>
    </row>
    <row r="73" spans="3:6" ht="12.75" outlineLevel="1">
      <c r="C73" s="14" t="s">
        <v>14</v>
      </c>
      <c r="D73" s="75">
        <v>22634</v>
      </c>
      <c r="E73" s="76">
        <v>22860</v>
      </c>
      <c r="F73" s="79">
        <v>22634</v>
      </c>
    </row>
    <row r="74" spans="3:6" ht="12.75" outlineLevel="1">
      <c r="C74" s="14" t="s">
        <v>15</v>
      </c>
      <c r="D74" s="75">
        <v>70</v>
      </c>
      <c r="E74" s="76">
        <v>60</v>
      </c>
      <c r="F74" s="79">
        <v>70</v>
      </c>
    </row>
    <row r="75" spans="3:6" ht="12.75" outlineLevel="1">
      <c r="C75" s="14" t="s">
        <v>49</v>
      </c>
      <c r="D75" s="75">
        <v>18370</v>
      </c>
      <c r="E75" s="76">
        <v>27340</v>
      </c>
      <c r="F75" s="79">
        <v>0</v>
      </c>
    </row>
    <row r="76" spans="3:6" ht="12.75" outlineLevel="1">
      <c r="C76" s="14" t="s">
        <v>50</v>
      </c>
      <c r="D76" s="75">
        <v>11477</v>
      </c>
      <c r="E76" s="76">
        <v>440</v>
      </c>
      <c r="F76" s="79">
        <v>11477</v>
      </c>
    </row>
    <row r="77" spans="3:6" ht="12.75" outlineLevel="1">
      <c r="C77" s="14" t="s">
        <v>51</v>
      </c>
      <c r="D77" s="75">
        <v>3432</v>
      </c>
      <c r="E77" s="76">
        <v>3140</v>
      </c>
      <c r="F77" s="79">
        <v>3432</v>
      </c>
    </row>
    <row r="78" spans="3:6" ht="12.75" outlineLevel="1">
      <c r="C78" s="17" t="s">
        <v>19</v>
      </c>
      <c r="D78" s="75">
        <v>24106</v>
      </c>
      <c r="E78" s="76">
        <v>26940</v>
      </c>
      <c r="F78" s="78">
        <f>SUM(F79:F81)</f>
        <v>24106</v>
      </c>
    </row>
    <row r="79" spans="3:6" ht="12.75" outlineLevel="1">
      <c r="C79" s="21" t="s">
        <v>20</v>
      </c>
      <c r="D79" s="75">
        <v>1301</v>
      </c>
      <c r="E79" s="76">
        <v>1380</v>
      </c>
      <c r="F79" s="79">
        <v>1301</v>
      </c>
    </row>
    <row r="80" spans="3:6" ht="12.75" outlineLevel="1">
      <c r="C80" s="21" t="s">
        <v>21</v>
      </c>
      <c r="D80" s="75">
        <v>20854</v>
      </c>
      <c r="E80" s="76">
        <v>23490</v>
      </c>
      <c r="F80" s="79">
        <v>20854</v>
      </c>
    </row>
    <row r="81" spans="3:6" ht="12.75" outlineLevel="1">
      <c r="C81" s="21" t="s">
        <v>22</v>
      </c>
      <c r="D81" s="75">
        <v>1951</v>
      </c>
      <c r="E81" s="76">
        <v>2070</v>
      </c>
      <c r="F81" s="79">
        <v>1951</v>
      </c>
    </row>
    <row r="82" spans="3:6" ht="12.75" outlineLevel="1">
      <c r="C82" s="17" t="s">
        <v>23</v>
      </c>
      <c r="D82" s="75">
        <v>0</v>
      </c>
      <c r="E82" s="76">
        <v>0</v>
      </c>
      <c r="F82" s="79">
        <v>0</v>
      </c>
    </row>
    <row r="83" spans="3:6" ht="12.75" outlineLevel="1">
      <c r="C83" s="80" t="s">
        <v>24</v>
      </c>
      <c r="D83" s="75">
        <v>136844</v>
      </c>
      <c r="E83" s="76">
        <v>149096</v>
      </c>
      <c r="F83" s="78">
        <f>SUM(F64+F78+F82+F62)</f>
        <v>119216</v>
      </c>
    </row>
    <row r="84" spans="3:6" ht="25.5" outlineLevel="1">
      <c r="C84" s="81" t="s">
        <v>52</v>
      </c>
      <c r="D84" s="82">
        <v>2558.5</v>
      </c>
      <c r="E84" s="83">
        <v>2800</v>
      </c>
      <c r="F84" s="84">
        <v>2558.5</v>
      </c>
    </row>
    <row r="85" spans="3:6" ht="25.5" outlineLevel="1">
      <c r="C85" s="81" t="s">
        <v>53</v>
      </c>
      <c r="D85" s="85">
        <f>D83/D84</f>
        <v>53.486026968927106</v>
      </c>
      <c r="E85" s="86">
        <f>E83/E84</f>
        <v>53.24857142857143</v>
      </c>
      <c r="F85" s="87">
        <f>F83/F84</f>
        <v>46.596052374438145</v>
      </c>
    </row>
    <row r="86" spans="3:6" ht="25.5" outlineLevel="1">
      <c r="C86" s="80" t="s">
        <v>54</v>
      </c>
      <c r="D86" s="85"/>
      <c r="E86" s="88"/>
      <c r="F86" s="89"/>
    </row>
    <row r="87" spans="3:6" ht="12.75" outlineLevel="1">
      <c r="C87" s="11" t="s">
        <v>55</v>
      </c>
      <c r="D87" s="85">
        <f>D85*1.085</f>
        <v>58.032339261285905</v>
      </c>
      <c r="E87" s="87">
        <f>E85*1.085</f>
        <v>57.7747</v>
      </c>
      <c r="F87" s="87">
        <f>F85*1.085</f>
        <v>50.55671682626539</v>
      </c>
    </row>
    <row r="90" spans="2:3" ht="15.75">
      <c r="B90" s="90" t="s">
        <v>144</v>
      </c>
      <c r="C90" s="91"/>
    </row>
    <row r="91" ht="12.75" outlineLevel="1"/>
    <row r="92" spans="2:6" ht="13.5" outlineLevel="1" thickBot="1">
      <c r="B92" s="92" t="s">
        <v>56</v>
      </c>
      <c r="C92" s="92" t="s">
        <v>57</v>
      </c>
      <c r="D92" s="92" t="s">
        <v>58</v>
      </c>
      <c r="E92" s="93" t="s">
        <v>59</v>
      </c>
      <c r="F92" s="92" t="s">
        <v>60</v>
      </c>
    </row>
    <row r="93" spans="2:6" ht="13.5" customHeight="1" outlineLevel="1" thickTop="1">
      <c r="B93" s="236" t="s">
        <v>61</v>
      </c>
      <c r="C93" s="94" t="s">
        <v>62</v>
      </c>
      <c r="D93" s="95" t="s">
        <v>63</v>
      </c>
      <c r="E93" s="97">
        <f>+E23</f>
        <v>122160</v>
      </c>
      <c r="F93" s="96">
        <f>+F23</f>
        <v>86800</v>
      </c>
    </row>
    <row r="94" spans="2:6" ht="12.75" outlineLevel="1">
      <c r="B94" s="236"/>
      <c r="C94" s="94" t="s">
        <v>64</v>
      </c>
      <c r="D94" s="95" t="s">
        <v>65</v>
      </c>
      <c r="E94" s="99">
        <f>+E24</f>
        <v>331000</v>
      </c>
      <c r="F94" s="98">
        <f>+F24</f>
        <v>331000</v>
      </c>
    </row>
    <row r="95" spans="2:6" ht="12.75" outlineLevel="1">
      <c r="B95" s="236"/>
      <c r="C95" s="100" t="s">
        <v>66</v>
      </c>
      <c r="D95" s="95" t="s">
        <v>67</v>
      </c>
      <c r="E95" s="102">
        <f>+ROUND(E93/E94,4)</f>
        <v>0.3691</v>
      </c>
      <c r="F95" s="101">
        <f>+ROUND(F93/F94,4)</f>
        <v>0.2622</v>
      </c>
    </row>
    <row r="96" spans="2:6" ht="12.75" outlineLevel="1">
      <c r="B96" s="236"/>
      <c r="C96" s="103" t="s">
        <v>68</v>
      </c>
      <c r="D96" s="104" t="s">
        <v>67</v>
      </c>
      <c r="E96" s="106">
        <f>+ROUND(E95*1.085,4)</f>
        <v>0.4005</v>
      </c>
      <c r="F96" s="105">
        <f>+ROUND(F95*1.085,4)</f>
        <v>0.2845</v>
      </c>
    </row>
    <row r="97" spans="2:6" ht="12.75" outlineLevel="1">
      <c r="B97" s="236"/>
      <c r="C97" s="94" t="s">
        <v>69</v>
      </c>
      <c r="D97" s="95" t="s">
        <v>63</v>
      </c>
      <c r="E97" s="108">
        <v>52642</v>
      </c>
      <c r="F97" s="107">
        <v>50314.72</v>
      </c>
    </row>
    <row r="98" spans="2:6" ht="12.75" outlineLevel="1">
      <c r="B98" s="236"/>
      <c r="C98" s="100" t="s">
        <v>70</v>
      </c>
      <c r="D98" s="95" t="s">
        <v>71</v>
      </c>
      <c r="E98" s="102">
        <v>2.022</v>
      </c>
      <c r="F98" s="101">
        <v>1.9327</v>
      </c>
    </row>
    <row r="99" spans="2:6" ht="12.75" outlineLevel="1">
      <c r="B99" s="236"/>
      <c r="C99" s="103" t="s">
        <v>72</v>
      </c>
      <c r="D99" s="104" t="s">
        <v>71</v>
      </c>
      <c r="E99" s="106">
        <f>+ROUND(E98*1.085,4)</f>
        <v>2.1939</v>
      </c>
      <c r="F99" s="105">
        <f>+ROUND(F98*1.085,4)</f>
        <v>2.097</v>
      </c>
    </row>
    <row r="100" ht="12.75" outlineLevel="1"/>
    <row r="101" spans="2:6" ht="12.75" outlineLevel="1">
      <c r="B101" s="237" t="s">
        <v>73</v>
      </c>
      <c r="C101" s="109" t="s">
        <v>74</v>
      </c>
      <c r="D101" s="110" t="s">
        <v>63</v>
      </c>
      <c r="E101" s="112">
        <f>+E52</f>
        <v>93230</v>
      </c>
      <c r="F101" s="111">
        <f>+F52</f>
        <v>64880</v>
      </c>
    </row>
    <row r="102" spans="2:6" ht="12.75" outlineLevel="1">
      <c r="B102" s="237"/>
      <c r="C102" s="109" t="s">
        <v>64</v>
      </c>
      <c r="D102" s="110" t="s">
        <v>65</v>
      </c>
      <c r="E102" s="114">
        <f>+E53</f>
        <v>301000</v>
      </c>
      <c r="F102" s="113">
        <f>+F53</f>
        <v>302346</v>
      </c>
    </row>
    <row r="103" spans="2:6" ht="12.75" outlineLevel="1">
      <c r="B103" s="237"/>
      <c r="C103" s="115" t="s">
        <v>66</v>
      </c>
      <c r="D103" s="110" t="s">
        <v>67</v>
      </c>
      <c r="E103" s="117">
        <f>+ROUND(E101/E102,4)</f>
        <v>0.3097</v>
      </c>
      <c r="F103" s="116">
        <f>+ROUND(F101/F102,4)</f>
        <v>0.2146</v>
      </c>
    </row>
    <row r="104" spans="2:6" ht="12.75" outlineLevel="1">
      <c r="B104" s="237"/>
      <c r="C104" s="118" t="s">
        <v>68</v>
      </c>
      <c r="D104" s="119" t="s">
        <v>67</v>
      </c>
      <c r="E104" s="121">
        <f>+ROUND(E103*1.085,4)</f>
        <v>0.336</v>
      </c>
      <c r="F104" s="120">
        <f>+ROUND(F103*1.085,4)</f>
        <v>0.2328</v>
      </c>
    </row>
    <row r="105" spans="2:6" ht="12.75" outlineLevel="1">
      <c r="B105" s="237"/>
      <c r="C105" s="109" t="s">
        <v>69</v>
      </c>
      <c r="D105" s="110" t="s">
        <v>63</v>
      </c>
      <c r="E105" s="123">
        <v>49965</v>
      </c>
      <c r="F105" s="122">
        <v>45794.11</v>
      </c>
    </row>
    <row r="106" spans="2:6" ht="12.75" outlineLevel="1">
      <c r="B106" s="237"/>
      <c r="C106" s="115" t="s">
        <v>70</v>
      </c>
      <c r="D106" s="110" t="s">
        <v>71</v>
      </c>
      <c r="E106" s="117">
        <v>1.9192</v>
      </c>
      <c r="F106" s="116">
        <v>1.759</v>
      </c>
    </row>
    <row r="107" spans="2:6" ht="12.75" outlineLevel="1">
      <c r="B107" s="237"/>
      <c r="C107" s="118" t="s">
        <v>72</v>
      </c>
      <c r="D107" s="119" t="s">
        <v>71</v>
      </c>
      <c r="E107" s="121">
        <f>+ROUND(E106*1.085,4)</f>
        <v>2.0823</v>
      </c>
      <c r="F107" s="120">
        <f>+ROUND(F106*1.085,4)</f>
        <v>1.9085</v>
      </c>
    </row>
    <row r="108" ht="12.75" outlineLevel="1"/>
    <row r="109" spans="2:6" ht="12.75" customHeight="1" outlineLevel="1">
      <c r="B109" s="238" t="s">
        <v>75</v>
      </c>
      <c r="C109" s="124" t="s">
        <v>76</v>
      </c>
      <c r="D109" s="125" t="s">
        <v>63</v>
      </c>
      <c r="E109" s="127">
        <f>+E83</f>
        <v>149096</v>
      </c>
      <c r="F109" s="126">
        <f>+F83</f>
        <v>119216</v>
      </c>
    </row>
    <row r="110" spans="2:6" ht="12.75" outlineLevel="1">
      <c r="B110" s="238"/>
      <c r="C110" s="128" t="s">
        <v>77</v>
      </c>
      <c r="D110" s="125" t="s">
        <v>63</v>
      </c>
      <c r="E110" s="127">
        <f>+E62</f>
        <v>40376</v>
      </c>
      <c r="F110" s="126">
        <f>+F62</f>
        <v>34020</v>
      </c>
    </row>
    <row r="111" spans="2:6" ht="12.75" outlineLevel="1">
      <c r="B111" s="238"/>
      <c r="C111" s="128" t="s">
        <v>78</v>
      </c>
      <c r="D111" s="125" t="s">
        <v>63</v>
      </c>
      <c r="E111" s="127">
        <f>+E109-E110</f>
        <v>108720</v>
      </c>
      <c r="F111" s="126">
        <f>+F109-F110</f>
        <v>85196</v>
      </c>
    </row>
    <row r="112" spans="2:6" ht="12.75" outlineLevel="1">
      <c r="B112" s="238"/>
      <c r="C112" s="124" t="s">
        <v>64</v>
      </c>
      <c r="D112" s="125" t="s">
        <v>79</v>
      </c>
      <c r="E112" s="130">
        <f>+E84</f>
        <v>2800</v>
      </c>
      <c r="F112" s="129">
        <f>+F84</f>
        <v>2558.5</v>
      </c>
    </row>
    <row r="113" spans="2:6" ht="12.75" outlineLevel="1">
      <c r="B113" s="238"/>
      <c r="C113" s="124" t="s">
        <v>80</v>
      </c>
      <c r="D113" s="125" t="s">
        <v>79</v>
      </c>
      <c r="E113" s="130">
        <v>600</v>
      </c>
      <c r="F113" s="129">
        <v>694.6262027936725</v>
      </c>
    </row>
    <row r="114" spans="2:6" ht="12.75" outlineLevel="1">
      <c r="B114" s="238"/>
      <c r="C114" s="124" t="s">
        <v>81</v>
      </c>
      <c r="D114" s="125" t="s">
        <v>82</v>
      </c>
      <c r="E114" s="132">
        <v>6054</v>
      </c>
      <c r="F114" s="131">
        <v>6060</v>
      </c>
    </row>
    <row r="115" spans="2:6" ht="12.75" outlineLevel="1">
      <c r="B115" s="238"/>
      <c r="C115" s="133" t="s">
        <v>83</v>
      </c>
      <c r="D115" s="125" t="s">
        <v>84</v>
      </c>
      <c r="E115" s="135">
        <f>+ROUND(E109/$E$112,4)</f>
        <v>53.2486</v>
      </c>
      <c r="F115" s="134">
        <f>+ROUND(F109/$F$112,4)</f>
        <v>46.5961</v>
      </c>
    </row>
    <row r="116" spans="2:6" ht="12.75" outlineLevel="1">
      <c r="B116" s="238"/>
      <c r="C116" s="128" t="s">
        <v>85</v>
      </c>
      <c r="D116" s="125" t="s">
        <v>84</v>
      </c>
      <c r="E116" s="135">
        <f>+ROUND(E110/$E$112,4)</f>
        <v>14.42</v>
      </c>
      <c r="F116" s="134">
        <f>+ROUND(F110/$F$112,4)</f>
        <v>13.2969</v>
      </c>
    </row>
    <row r="117" spans="2:6" ht="12.75" outlineLevel="1">
      <c r="B117" s="238"/>
      <c r="C117" s="128" t="s">
        <v>86</v>
      </c>
      <c r="D117" s="125" t="s">
        <v>84</v>
      </c>
      <c r="E117" s="135">
        <f>+ROUND(E111/$E$112,4)</f>
        <v>38.8286</v>
      </c>
      <c r="F117" s="134">
        <f>+ROUND(F111/$F$112,4)</f>
        <v>33.2992</v>
      </c>
    </row>
    <row r="118" spans="2:6" ht="12.75" outlineLevel="1">
      <c r="B118" s="238"/>
      <c r="C118" s="136" t="s">
        <v>87</v>
      </c>
      <c r="D118" s="137" t="s">
        <v>84</v>
      </c>
      <c r="E118" s="139">
        <f aca="true" t="shared" si="0" ref="E118:F120">+ROUND(E115*1.085,4)</f>
        <v>57.7747</v>
      </c>
      <c r="F118" s="138">
        <f t="shared" si="0"/>
        <v>50.5568</v>
      </c>
    </row>
    <row r="119" spans="2:6" ht="12.75" outlineLevel="1">
      <c r="B119" s="238"/>
      <c r="C119" s="140" t="s">
        <v>85</v>
      </c>
      <c r="D119" s="137" t="s">
        <v>84</v>
      </c>
      <c r="E119" s="139">
        <f t="shared" si="0"/>
        <v>15.6457</v>
      </c>
      <c r="F119" s="138">
        <f t="shared" si="0"/>
        <v>14.4271</v>
      </c>
    </row>
    <row r="120" spans="2:6" ht="12.75" outlineLevel="1">
      <c r="B120" s="238"/>
      <c r="C120" s="140" t="s">
        <v>86</v>
      </c>
      <c r="D120" s="137" t="s">
        <v>84</v>
      </c>
      <c r="E120" s="139">
        <f t="shared" si="0"/>
        <v>42.129</v>
      </c>
      <c r="F120" s="138">
        <f t="shared" si="0"/>
        <v>36.1296</v>
      </c>
    </row>
    <row r="121" spans="2:6" ht="12.75" outlineLevel="1">
      <c r="B121" s="238"/>
      <c r="C121" s="140"/>
      <c r="D121" s="137"/>
      <c r="E121" s="139"/>
      <c r="F121" s="227"/>
    </row>
    <row r="122" spans="2:6" ht="12.75" outlineLevel="1">
      <c r="B122" s="238"/>
      <c r="C122" s="133" t="s">
        <v>88</v>
      </c>
      <c r="D122" s="125" t="s">
        <v>89</v>
      </c>
      <c r="E122" s="135">
        <f>ROUND(($E$109-E115*E113)/12/E114,4)</f>
        <v>1.6125</v>
      </c>
      <c r="F122" s="134">
        <f>ROUND(($F$109-F115*F113)/12/F114,4)</f>
        <v>1.1943</v>
      </c>
    </row>
    <row r="123" spans="2:6" ht="12.75" outlineLevel="1">
      <c r="B123" s="238"/>
      <c r="C123" s="128" t="s">
        <v>85</v>
      </c>
      <c r="D123" s="125" t="s">
        <v>89</v>
      </c>
      <c r="E123" s="135">
        <f>+ROUND(E122*$F$62/$F$83,4)</f>
        <v>0.4602</v>
      </c>
      <c r="F123" s="134">
        <f>+ROUND(F122*$F$62/$F$83,4)</f>
        <v>0.3408</v>
      </c>
    </row>
    <row r="124" spans="2:6" ht="12.75" outlineLevel="1">
      <c r="B124" s="238"/>
      <c r="C124" s="128" t="s">
        <v>86</v>
      </c>
      <c r="D124" s="125" t="s">
        <v>89</v>
      </c>
      <c r="E124" s="135">
        <f>+E122-E123</f>
        <v>1.1523</v>
      </c>
      <c r="F124" s="134">
        <f>+F122-F123</f>
        <v>0.8534999999999999</v>
      </c>
    </row>
    <row r="125" spans="2:6" ht="12.75" outlineLevel="1">
      <c r="B125" s="238"/>
      <c r="C125" s="136" t="s">
        <v>90</v>
      </c>
      <c r="D125" s="125" t="s">
        <v>89</v>
      </c>
      <c r="E125" s="139">
        <f aca="true" t="shared" si="1" ref="E125:F127">+ROUND(E122*1.085,4)</f>
        <v>1.7496</v>
      </c>
      <c r="F125" s="138">
        <f t="shared" si="1"/>
        <v>1.2958</v>
      </c>
    </row>
    <row r="126" spans="2:6" ht="12.75" outlineLevel="1">
      <c r="B126" s="238"/>
      <c r="C126" s="140" t="s">
        <v>85</v>
      </c>
      <c r="D126" s="125" t="s">
        <v>89</v>
      </c>
      <c r="E126" s="139">
        <f t="shared" si="1"/>
        <v>0.4993</v>
      </c>
      <c r="F126" s="138">
        <f t="shared" si="1"/>
        <v>0.3698</v>
      </c>
    </row>
    <row r="127" spans="2:6" ht="12.75" outlineLevel="1">
      <c r="B127" s="238"/>
      <c r="C127" s="140" t="s">
        <v>86</v>
      </c>
      <c r="D127" s="125" t="s">
        <v>89</v>
      </c>
      <c r="E127" s="139">
        <f t="shared" si="1"/>
        <v>1.2502</v>
      </c>
      <c r="F127" s="138">
        <f t="shared" si="1"/>
        <v>0.926</v>
      </c>
    </row>
    <row r="130" spans="2:8" ht="15.75">
      <c r="B130" s="90" t="s">
        <v>91</v>
      </c>
      <c r="C130" s="91"/>
      <c r="D130" s="141"/>
      <c r="E130" s="141"/>
      <c r="F130" s="142"/>
      <c r="G130" s="142"/>
      <c r="H130" s="142"/>
    </row>
    <row r="131" spans="3:8" ht="13.5" outlineLevel="1" thickBot="1">
      <c r="C131" s="141"/>
      <c r="D131" s="141"/>
      <c r="E131" s="141"/>
      <c r="F131" s="142"/>
      <c r="G131" s="142"/>
      <c r="H131" s="142"/>
    </row>
    <row r="132" spans="3:8" ht="15.75" outlineLevel="1" thickBot="1">
      <c r="C132" s="143" t="s">
        <v>92</v>
      </c>
      <c r="D132" s="143" t="s">
        <v>93</v>
      </c>
      <c r="E132" s="144" t="s">
        <v>94</v>
      </c>
      <c r="F132" s="143" t="s">
        <v>95</v>
      </c>
      <c r="G132" s="143" t="s">
        <v>96</v>
      </c>
      <c r="H132" s="145" t="s">
        <v>97</v>
      </c>
    </row>
    <row r="133" spans="3:8" ht="13.5" outlineLevel="1" thickTop="1">
      <c r="C133" s="146" t="s">
        <v>98</v>
      </c>
      <c r="D133" s="147"/>
      <c r="E133" s="148"/>
      <c r="F133" s="147"/>
      <c r="G133" s="147"/>
      <c r="H133" s="149">
        <v>98500</v>
      </c>
    </row>
    <row r="134" spans="3:8" ht="12.75" outlineLevel="1">
      <c r="C134" s="150" t="s">
        <v>99</v>
      </c>
      <c r="D134" s="147"/>
      <c r="E134" s="148"/>
      <c r="F134" s="147"/>
      <c r="G134" s="147"/>
      <c r="H134" s="149">
        <v>70987.63110134588</v>
      </c>
    </row>
    <row r="135" spans="3:8" ht="12.75" outlineLevel="1">
      <c r="C135" s="150" t="s">
        <v>100</v>
      </c>
      <c r="D135" s="151">
        <f>+$H$135</f>
        <v>0.2488907743652035</v>
      </c>
      <c r="E135" s="152">
        <f>+$H$135</f>
        <v>0.2488907743652035</v>
      </c>
      <c r="F135" s="151">
        <f>+$H$135</f>
        <v>0.2488907743652035</v>
      </c>
      <c r="G135" s="151">
        <f>+$H$135</f>
        <v>0.2488907743652035</v>
      </c>
      <c r="H135" s="153">
        <v>0.2488907743652035</v>
      </c>
    </row>
    <row r="136" spans="3:8" ht="12.75" outlineLevel="1">
      <c r="C136" s="150" t="s">
        <v>101</v>
      </c>
      <c r="D136" s="151">
        <f>+$H$136</f>
        <v>9.806156673512726</v>
      </c>
      <c r="E136" s="152">
        <f>+$H$136</f>
        <v>9.806156673512726</v>
      </c>
      <c r="F136" s="151">
        <f>+$H$136</f>
        <v>9.806156673512726</v>
      </c>
      <c r="G136" s="151">
        <f>+$H$136</f>
        <v>9.806156673512726</v>
      </c>
      <c r="H136" s="153">
        <v>9.806156673512726</v>
      </c>
    </row>
    <row r="137" spans="3:8" ht="15" outlineLevel="1">
      <c r="C137" s="141"/>
      <c r="D137" s="154"/>
      <c r="E137" s="155"/>
      <c r="F137" s="154"/>
      <c r="G137" s="154"/>
      <c r="H137" s="156"/>
    </row>
    <row r="138" spans="3:8" ht="12.75" outlineLevel="1">
      <c r="C138" s="146" t="s">
        <v>102</v>
      </c>
      <c r="D138" s="157"/>
      <c r="E138" s="158"/>
      <c r="F138" s="157"/>
      <c r="G138" s="157"/>
      <c r="H138" s="149">
        <v>109544</v>
      </c>
    </row>
    <row r="139" spans="3:8" ht="12.75" outlineLevel="1">
      <c r="C139" s="150" t="s">
        <v>99</v>
      </c>
      <c r="D139" s="147"/>
      <c r="E139" s="148"/>
      <c r="F139" s="147"/>
      <c r="G139" s="147"/>
      <c r="H139" s="149">
        <v>78946.8940240186</v>
      </c>
    </row>
    <row r="140" spans="3:8" ht="12.75" outlineLevel="1">
      <c r="C140" s="150" t="s">
        <v>103</v>
      </c>
      <c r="D140" s="151">
        <f>+$H$140</f>
        <v>0.27679686281281063</v>
      </c>
      <c r="E140" s="152">
        <f>+$H$140</f>
        <v>0.27679686281281063</v>
      </c>
      <c r="F140" s="151">
        <f>+$H$140</f>
        <v>0.27679686281281063</v>
      </c>
      <c r="G140" s="151">
        <f>+$H$140</f>
        <v>0.27679686281281063</v>
      </c>
      <c r="H140" s="153">
        <v>0.27679686281281063</v>
      </c>
    </row>
    <row r="141" spans="3:8" ht="12.75" outlineLevel="1">
      <c r="C141" s="150" t="s">
        <v>101</v>
      </c>
      <c r="D141" s="151">
        <f>+$H$141</f>
        <v>10.905640879627189</v>
      </c>
      <c r="E141" s="152">
        <f>+$H$141</f>
        <v>10.905640879627189</v>
      </c>
      <c r="F141" s="151">
        <f>+$H$141</f>
        <v>10.905640879627189</v>
      </c>
      <c r="G141" s="151">
        <f>+$H$141</f>
        <v>10.905640879627189</v>
      </c>
      <c r="H141" s="153">
        <v>10.905640879627189</v>
      </c>
    </row>
    <row r="142" spans="3:8" ht="12.75" outlineLevel="1">
      <c r="C142" s="141"/>
      <c r="D142" s="141"/>
      <c r="E142" s="159"/>
      <c r="F142" s="141"/>
      <c r="G142" s="141"/>
      <c r="H142" s="160"/>
    </row>
    <row r="143" spans="3:8" ht="12.75" outlineLevel="1">
      <c r="C143" s="146" t="s">
        <v>104</v>
      </c>
      <c r="D143" s="147"/>
      <c r="E143" s="148"/>
      <c r="F143" s="147"/>
      <c r="G143" s="147"/>
      <c r="H143" s="149">
        <v>112802.36</v>
      </c>
    </row>
    <row r="144" spans="3:8" ht="12.75" outlineLevel="1">
      <c r="C144" s="150" t="s">
        <v>99</v>
      </c>
      <c r="D144" s="151"/>
      <c r="E144" s="159"/>
      <c r="F144" s="141"/>
      <c r="G144" s="141"/>
      <c r="H144" s="149">
        <v>81295.15044711893</v>
      </c>
    </row>
    <row r="145" spans="3:8" ht="12.75" outlineLevel="1">
      <c r="C145" s="150" t="s">
        <v>103</v>
      </c>
      <c r="D145" s="161">
        <f>+$H$145</f>
        <v>0.2850301190926137</v>
      </c>
      <c r="E145" s="162">
        <f>+$H$145</f>
        <v>0.2850301190926137</v>
      </c>
      <c r="F145" s="161">
        <f>+$H$145</f>
        <v>0.2850301190926137</v>
      </c>
      <c r="G145" s="161">
        <f>+$H$145</f>
        <v>0.2850301190926137</v>
      </c>
      <c r="H145" s="153">
        <v>0.2850301190926137</v>
      </c>
    </row>
    <row r="146" spans="3:8" ht="13.5" outlineLevel="1" thickBot="1">
      <c r="C146" s="150" t="s">
        <v>101</v>
      </c>
      <c r="D146" s="161">
        <f>+$H$146</f>
        <v>11.230026551289187</v>
      </c>
      <c r="E146" s="163">
        <f>+$H$146</f>
        <v>11.230026551289187</v>
      </c>
      <c r="F146" s="161">
        <f>+$H$146</f>
        <v>11.230026551289187</v>
      </c>
      <c r="G146" s="161">
        <f>+$H$146</f>
        <v>11.230026551289187</v>
      </c>
      <c r="H146" s="153">
        <v>11.230026551289187</v>
      </c>
    </row>
    <row r="147" spans="3:6" ht="12.75">
      <c r="C147" s="164"/>
      <c r="D147" s="165"/>
      <c r="E147" s="166"/>
      <c r="F147" s="166"/>
    </row>
    <row r="148" ht="12.75"/>
    <row r="149" spans="3:5" ht="16.5" thickBot="1">
      <c r="C149" s="167" t="s">
        <v>105</v>
      </c>
      <c r="D149" s="167" t="s">
        <v>106</v>
      </c>
      <c r="E149" s="167" t="s">
        <v>58</v>
      </c>
    </row>
    <row r="150" spans="3:8" ht="13.5" outlineLevel="1" thickTop="1">
      <c r="C150" s="168" t="s">
        <v>107</v>
      </c>
      <c r="D150" s="228">
        <v>7.730616885611124</v>
      </c>
      <c r="E150" s="170" t="s">
        <v>108</v>
      </c>
      <c r="G150"/>
      <c r="H150"/>
    </row>
    <row r="151" spans="3:8" ht="12.75" outlineLevel="1">
      <c r="C151" s="168" t="s">
        <v>107</v>
      </c>
      <c r="D151" s="228">
        <v>7.03604670815088</v>
      </c>
      <c r="E151" s="170" t="s">
        <v>108</v>
      </c>
      <c r="G151"/>
      <c r="H151"/>
    </row>
    <row r="152" spans="3:8" ht="12.75" outlineLevel="1">
      <c r="C152" s="168" t="s">
        <v>109</v>
      </c>
      <c r="D152" s="171">
        <v>1.085</v>
      </c>
      <c r="E152" s="170"/>
      <c r="G152"/>
      <c r="H152"/>
    </row>
    <row r="153" spans="3:8" ht="12.75" outlineLevel="1">
      <c r="C153" s="172" t="s">
        <v>110</v>
      </c>
      <c r="D153" s="173">
        <f>4.5</f>
        <v>4.5</v>
      </c>
      <c r="E153" s="174" t="s">
        <v>111</v>
      </c>
      <c r="G153"/>
      <c r="H153"/>
    </row>
    <row r="154" spans="3:8" ht="12.75" outlineLevel="1">
      <c r="C154" s="168" t="s">
        <v>112</v>
      </c>
      <c r="D154" s="171">
        <v>23</v>
      </c>
      <c r="E154" s="170"/>
      <c r="G154"/>
      <c r="H154"/>
    </row>
    <row r="155" spans="3:8" ht="12.75" outlineLevel="1">
      <c r="C155" s="168" t="s">
        <v>113</v>
      </c>
      <c r="D155" s="171">
        <v>54</v>
      </c>
      <c r="E155" s="170"/>
      <c r="G155"/>
      <c r="H155"/>
    </row>
    <row r="156" spans="3:8" ht="12.75" outlineLevel="1">
      <c r="C156" s="175" t="s">
        <v>114</v>
      </c>
      <c r="D156" s="176">
        <f>+D150/D155</f>
        <v>0.14315957195576157</v>
      </c>
      <c r="E156" s="109" t="s">
        <v>115</v>
      </c>
      <c r="G156"/>
      <c r="H156"/>
    </row>
    <row r="157" spans="3:8" ht="12.75" outlineLevel="1">
      <c r="C157" s="175" t="s">
        <v>116</v>
      </c>
      <c r="D157" s="176">
        <f>+D151/D155</f>
        <v>0.13029716126205335</v>
      </c>
      <c r="E157" s="109" t="s">
        <v>115</v>
      </c>
      <c r="G157"/>
      <c r="H157"/>
    </row>
    <row r="158" ht="15.75">
      <c r="B158" s="177"/>
    </row>
    <row r="159" spans="6:7" ht="12.75">
      <c r="F159"/>
      <c r="G159"/>
    </row>
    <row r="160" spans="2:7" ht="15.75">
      <c r="B160" s="177" t="s">
        <v>145</v>
      </c>
      <c r="F160"/>
      <c r="G160"/>
    </row>
    <row r="161" ht="12.75" outlineLevel="1"/>
    <row r="162" spans="3:5" ht="43.5" customHeight="1" outlineLevel="1">
      <c r="C162" s="178" t="s">
        <v>117</v>
      </c>
      <c r="D162" s="179" t="s">
        <v>118</v>
      </c>
      <c r="E162" s="179" t="s">
        <v>119</v>
      </c>
    </row>
    <row r="163" spans="2:5" ht="3.75" customHeight="1" outlineLevel="1" thickBot="1">
      <c r="B163" s="180"/>
      <c r="C163" s="180"/>
      <c r="D163" s="181"/>
      <c r="E163" s="181"/>
    </row>
    <row r="164" spans="2:5" ht="12.75" customHeight="1" outlineLevel="1">
      <c r="B164" s="229" t="s">
        <v>120</v>
      </c>
      <c r="C164" s="182" t="s">
        <v>121</v>
      </c>
      <c r="D164" s="183">
        <v>1.2639</v>
      </c>
      <c r="E164" s="183">
        <v>1.9707</v>
      </c>
    </row>
    <row r="165" spans="2:5" ht="12.75" outlineLevel="1">
      <c r="B165" s="230"/>
      <c r="C165" s="182" t="s">
        <v>122</v>
      </c>
      <c r="D165" s="183">
        <v>0.8153</v>
      </c>
      <c r="E165" s="183">
        <f>+F122</f>
        <v>1.1943</v>
      </c>
    </row>
    <row r="166" spans="2:5" ht="13.5" customHeight="1" outlineLevel="1">
      <c r="B166" s="230"/>
      <c r="C166" s="182" t="s">
        <v>123</v>
      </c>
      <c r="D166" s="184">
        <v>0.863</v>
      </c>
      <c r="E166" s="185">
        <v>0</v>
      </c>
    </row>
    <row r="167" spans="2:5" ht="13.5" customHeight="1" outlineLevel="1">
      <c r="B167" s="230"/>
      <c r="C167" s="182" t="s">
        <v>124</v>
      </c>
      <c r="D167" s="185">
        <v>0</v>
      </c>
      <c r="E167" s="184">
        <f>+E135</f>
        <v>0.2488907743652035</v>
      </c>
    </row>
    <row r="168" spans="2:5" ht="12.75" customHeight="1" outlineLevel="1">
      <c r="B168" s="230"/>
      <c r="C168" s="182" t="s">
        <v>125</v>
      </c>
      <c r="D168" s="183">
        <v>0.1898</v>
      </c>
      <c r="E168" s="184">
        <f>+E145</f>
        <v>0.2850301190926137</v>
      </c>
    </row>
    <row r="169" spans="2:5" ht="12.75" customHeight="1" outlineLevel="1">
      <c r="B169" s="230"/>
      <c r="C169" s="182" t="s">
        <v>126</v>
      </c>
      <c r="D169" s="183">
        <v>0.247</v>
      </c>
      <c r="E169" s="183">
        <f>+E145</f>
        <v>0.2850301190926137</v>
      </c>
    </row>
    <row r="170" spans="2:7" ht="13.5" customHeight="1" outlineLevel="1" thickBot="1">
      <c r="B170" s="230"/>
      <c r="C170" s="186" t="s">
        <v>127</v>
      </c>
      <c r="D170" s="187">
        <f>SUM(D164:D169)</f>
        <v>3.379</v>
      </c>
      <c r="E170" s="187">
        <f>SUM(E164:E169)</f>
        <v>3.983951012550431</v>
      </c>
      <c r="G170" s="188"/>
    </row>
    <row r="171" spans="2:5" ht="12.75" customHeight="1" outlineLevel="1">
      <c r="B171" s="229" t="s">
        <v>128</v>
      </c>
      <c r="C171" s="189" t="s">
        <v>129</v>
      </c>
      <c r="D171" s="190">
        <v>0</v>
      </c>
      <c r="E171" s="191">
        <f>+D156</f>
        <v>0.14315957195576157</v>
      </c>
    </row>
    <row r="172" spans="2:5" ht="12.75" customHeight="1" outlineLevel="1">
      <c r="B172" s="230"/>
      <c r="C172" s="192" t="s">
        <v>130</v>
      </c>
      <c r="D172" s="193">
        <f>0.3158*NPVo</f>
        <v>1.4211</v>
      </c>
      <c r="E172" s="193">
        <f>+F95*NPVo</f>
        <v>1.1799</v>
      </c>
    </row>
    <row r="173" spans="2:5" ht="12.75" customHeight="1" outlineLevel="1">
      <c r="B173" s="230"/>
      <c r="C173" s="192" t="s">
        <v>131</v>
      </c>
      <c r="D173" s="193">
        <f>0.0643*NPVo</f>
        <v>0.28935</v>
      </c>
      <c r="E173" s="193">
        <f>0.0555*NPVo</f>
        <v>0.24975</v>
      </c>
    </row>
    <row r="174" spans="2:5" ht="13.5" customHeight="1" outlineLevel="1">
      <c r="B174" s="230"/>
      <c r="C174" s="192" t="s">
        <v>132</v>
      </c>
      <c r="D174" s="193">
        <f>+$D$152/$D$155</f>
        <v>0.020092592592592592</v>
      </c>
      <c r="E174" s="193">
        <f>+$D$152/$D$155</f>
        <v>0.020092592592592592</v>
      </c>
    </row>
    <row r="175" spans="2:5" ht="12.75" outlineLevel="1">
      <c r="B175" s="230"/>
      <c r="C175" s="192" t="s">
        <v>133</v>
      </c>
      <c r="D175" s="193">
        <f>0.0803*NPVo</f>
        <v>0.36135</v>
      </c>
      <c r="E175" s="194">
        <v>0</v>
      </c>
    </row>
    <row r="176" spans="2:5" ht="12.75" outlineLevel="1">
      <c r="B176" s="230"/>
      <c r="C176" s="192" t="s">
        <v>134</v>
      </c>
      <c r="D176" s="194">
        <v>0</v>
      </c>
      <c r="E176" s="193">
        <f>+D157</f>
        <v>0.13029716126205335</v>
      </c>
    </row>
    <row r="177" spans="2:5" ht="12.75" outlineLevel="1">
      <c r="B177" s="230"/>
      <c r="C177" s="192" t="s">
        <v>135</v>
      </c>
      <c r="D177" s="195">
        <f>0.2252*NPVo</f>
        <v>1.0134</v>
      </c>
      <c r="E177" s="193">
        <f>+F103*NPVo</f>
        <v>0.9657</v>
      </c>
    </row>
    <row r="178" spans="2:5" ht="12.75" outlineLevel="1">
      <c r="B178" s="230"/>
      <c r="C178" s="192" t="s">
        <v>126</v>
      </c>
      <c r="D178" s="195">
        <f>0.4754*NPVo</f>
        <v>2.1393</v>
      </c>
      <c r="E178" s="195">
        <f>0.4754*NPVo</f>
        <v>2.1393</v>
      </c>
    </row>
    <row r="179" spans="2:5" ht="12.75" outlineLevel="1">
      <c r="B179" s="230"/>
      <c r="C179" s="196" t="s">
        <v>136</v>
      </c>
      <c r="D179" s="197">
        <f>SUM(D171:D178)</f>
        <v>5.244592592592593</v>
      </c>
      <c r="E179" s="197">
        <f>SUM(E171:E178)</f>
        <v>4.828199325810408</v>
      </c>
    </row>
    <row r="180" spans="3:7" ht="18" outlineLevel="1">
      <c r="C180" s="198" t="s">
        <v>137</v>
      </c>
      <c r="D180" s="199">
        <f>+D170+D179</f>
        <v>8.623592592592592</v>
      </c>
      <c r="E180" s="199">
        <f>+E170+E179</f>
        <v>8.812150338360839</v>
      </c>
      <c r="G180" s="188"/>
    </row>
    <row r="181" ht="13.5" thickBot="1"/>
    <row r="182" spans="5:6" ht="12.75">
      <c r="E182" s="200" t="s">
        <v>138</v>
      </c>
      <c r="F182" s="201" t="s">
        <v>139</v>
      </c>
    </row>
    <row r="183" spans="2:6" ht="16.5" thickBot="1">
      <c r="B183" s="202" t="s">
        <v>146</v>
      </c>
      <c r="C183" s="170"/>
      <c r="D183" s="170"/>
      <c r="E183" s="203">
        <v>1.085</v>
      </c>
      <c r="F183" s="204">
        <v>4</v>
      </c>
    </row>
    <row r="184" ht="12.75" outlineLevel="1"/>
    <row r="185" spans="3:5" ht="33.75" outlineLevel="1">
      <c r="C185" s="178" t="s">
        <v>117</v>
      </c>
      <c r="D185" s="179" t="s">
        <v>118</v>
      </c>
      <c r="E185" s="179" t="s">
        <v>119</v>
      </c>
    </row>
    <row r="186" spans="2:5" ht="6" customHeight="1" outlineLevel="1" thickBot="1">
      <c r="B186" s="180"/>
      <c r="C186" s="180"/>
      <c r="D186" s="181"/>
      <c r="E186" s="181"/>
    </row>
    <row r="187" spans="2:5" ht="12.75" customHeight="1" outlineLevel="1" thickTop="1">
      <c r="B187" s="231" t="s">
        <v>120</v>
      </c>
      <c r="C187" s="182" t="s">
        <v>121</v>
      </c>
      <c r="D187" s="205">
        <f aca="true" t="shared" si="2" ref="D187:E192">+D164*$E$183*$F$183</f>
        <v>5.485326</v>
      </c>
      <c r="E187" s="205">
        <f t="shared" si="2"/>
        <v>8.552838</v>
      </c>
    </row>
    <row r="188" spans="2:5" ht="12.75" customHeight="1" outlineLevel="1">
      <c r="B188" s="239"/>
      <c r="C188" s="182" t="s">
        <v>122</v>
      </c>
      <c r="D188" s="205">
        <f t="shared" si="2"/>
        <v>3.538402</v>
      </c>
      <c r="E188" s="205">
        <f t="shared" si="2"/>
        <v>5.183261999999999</v>
      </c>
    </row>
    <row r="189" spans="2:6" ht="12.75" customHeight="1" outlineLevel="1">
      <c r="B189" s="239"/>
      <c r="C189" s="182" t="s">
        <v>123</v>
      </c>
      <c r="D189" s="205">
        <f t="shared" si="2"/>
        <v>3.7454199999999997</v>
      </c>
      <c r="E189" s="205">
        <f t="shared" si="2"/>
        <v>0</v>
      </c>
      <c r="F189"/>
    </row>
    <row r="190" spans="2:6" ht="12.75" customHeight="1" outlineLevel="1">
      <c r="B190" s="239"/>
      <c r="C190" s="182" t="s">
        <v>124</v>
      </c>
      <c r="D190" s="205">
        <f t="shared" si="2"/>
        <v>0</v>
      </c>
      <c r="E190" s="205">
        <f t="shared" si="2"/>
        <v>1.080185960744983</v>
      </c>
      <c r="F190"/>
    </row>
    <row r="191" spans="2:6" ht="12.75" customHeight="1" outlineLevel="1">
      <c r="B191" s="239"/>
      <c r="C191" s="182" t="s">
        <v>125</v>
      </c>
      <c r="D191" s="205">
        <f t="shared" si="2"/>
        <v>0.8237319999999999</v>
      </c>
      <c r="E191" s="205">
        <f t="shared" si="2"/>
        <v>1.2370307168619434</v>
      </c>
      <c r="F191"/>
    </row>
    <row r="192" spans="2:6" ht="12.75" customHeight="1" outlineLevel="1">
      <c r="B192" s="239"/>
      <c r="C192" s="182" t="s">
        <v>126</v>
      </c>
      <c r="D192" s="205">
        <f t="shared" si="2"/>
        <v>1.07198</v>
      </c>
      <c r="E192" s="205">
        <f t="shared" si="2"/>
        <v>1.2370307168619434</v>
      </c>
      <c r="F192"/>
    </row>
    <row r="193" spans="2:6" ht="13.5" customHeight="1" outlineLevel="1" thickBot="1">
      <c r="B193" s="239"/>
      <c r="C193" s="186" t="s">
        <v>127</v>
      </c>
      <c r="D193" s="206">
        <f>SUM(D187:D192)</f>
        <v>14.66486</v>
      </c>
      <c r="E193" s="206">
        <f>SUM(E187:E192)</f>
        <v>17.29034739446887</v>
      </c>
      <c r="F193"/>
    </row>
    <row r="194" spans="2:5" ht="12.75" customHeight="1" outlineLevel="1">
      <c r="B194" s="229" t="s">
        <v>128</v>
      </c>
      <c r="C194" s="189" t="s">
        <v>129</v>
      </c>
      <c r="D194" s="207">
        <f aca="true" t="shared" si="3" ref="D194:E196">+D171*$E$183*$F$183</f>
        <v>0</v>
      </c>
      <c r="E194" s="208">
        <f t="shared" si="3"/>
        <v>0.6213125422880051</v>
      </c>
    </row>
    <row r="195" spans="2:5" ht="12.75" customHeight="1" outlineLevel="1">
      <c r="B195" s="230"/>
      <c r="C195" s="192" t="s">
        <v>130</v>
      </c>
      <c r="D195" s="207">
        <f t="shared" si="3"/>
        <v>6.167574</v>
      </c>
      <c r="E195" s="207">
        <f t="shared" si="3"/>
        <v>5.120766</v>
      </c>
    </row>
    <row r="196" spans="2:5" ht="12.75" customHeight="1" outlineLevel="1">
      <c r="B196" s="230"/>
      <c r="C196" s="192" t="s">
        <v>131</v>
      </c>
      <c r="D196" s="207">
        <f t="shared" si="3"/>
        <v>1.255779</v>
      </c>
      <c r="E196" s="207">
        <f t="shared" si="3"/>
        <v>1.083915</v>
      </c>
    </row>
    <row r="197" spans="2:5" ht="12.75" customHeight="1" outlineLevel="1">
      <c r="B197" s="230"/>
      <c r="C197" s="192" t="s">
        <v>132</v>
      </c>
      <c r="D197" s="209">
        <f>+$D$152*1.2</f>
        <v>1.3019999999999998</v>
      </c>
      <c r="E197" s="209">
        <f>+$D$152*1.2</f>
        <v>1.3019999999999998</v>
      </c>
    </row>
    <row r="198" spans="2:5" ht="12.75" customHeight="1" outlineLevel="1">
      <c r="B198" s="230"/>
      <c r="C198" s="192" t="s">
        <v>133</v>
      </c>
      <c r="D198" s="207">
        <f aca="true" t="shared" si="4" ref="D198:E201">+D175*$E$183*$F$183</f>
        <v>1.568259</v>
      </c>
      <c r="E198" s="207">
        <f t="shared" si="4"/>
        <v>0</v>
      </c>
    </row>
    <row r="199" spans="2:5" ht="12.75" customHeight="1" outlineLevel="1">
      <c r="B199" s="230"/>
      <c r="C199" s="192" t="s">
        <v>134</v>
      </c>
      <c r="D199" s="207">
        <f t="shared" si="4"/>
        <v>0</v>
      </c>
      <c r="E199" s="208">
        <f t="shared" si="4"/>
        <v>0.5654896798773115</v>
      </c>
    </row>
    <row r="200" spans="2:5" ht="12.75" customHeight="1" outlineLevel="1">
      <c r="B200" s="230"/>
      <c r="C200" s="192" t="s">
        <v>135</v>
      </c>
      <c r="D200" s="207">
        <f t="shared" si="4"/>
        <v>4.398156</v>
      </c>
      <c r="E200" s="207">
        <f t="shared" si="4"/>
        <v>4.191138</v>
      </c>
    </row>
    <row r="201" spans="2:5" ht="12.75" customHeight="1" outlineLevel="1">
      <c r="B201" s="230"/>
      <c r="C201" s="192" t="s">
        <v>126</v>
      </c>
      <c r="D201" s="207">
        <f t="shared" si="4"/>
        <v>9.284562</v>
      </c>
      <c r="E201" s="207">
        <f t="shared" si="4"/>
        <v>9.284562</v>
      </c>
    </row>
    <row r="202" spans="2:5" ht="12.75" customHeight="1" outlineLevel="1">
      <c r="B202" s="230"/>
      <c r="C202" s="196" t="s">
        <v>136</v>
      </c>
      <c r="D202" s="197">
        <f>SUM(D194:D201)</f>
        <v>23.976329999999997</v>
      </c>
      <c r="E202" s="197">
        <f>SUM(E194:E201)</f>
        <v>22.169183222165316</v>
      </c>
    </row>
    <row r="203" spans="2:7" ht="18" outlineLevel="1">
      <c r="B203" s="210"/>
      <c r="C203" s="211" t="s">
        <v>137</v>
      </c>
      <c r="D203" s="212">
        <f>+D193+D202</f>
        <v>38.641189999999995</v>
      </c>
      <c r="E203" s="212">
        <f>+E193+E202</f>
        <v>39.45953061663418</v>
      </c>
      <c r="G203" s="188"/>
    </row>
    <row r="204" spans="3:5" ht="18" outlineLevel="1">
      <c r="C204" s="198"/>
      <c r="D204" s="213"/>
      <c r="E204" s="213"/>
    </row>
    <row r="205" spans="3:5" ht="12.75" outlineLevel="1">
      <c r="C205" s="186" t="s">
        <v>127</v>
      </c>
      <c r="D205" s="214">
        <f>+D193/$D$193*100</f>
        <v>100</v>
      </c>
      <c r="E205" s="214">
        <f>+E193/$D$193*100</f>
        <v>117.90325577243064</v>
      </c>
    </row>
    <row r="206" spans="3:8" ht="12.75" outlineLevel="1">
      <c r="C206" s="196" t="s">
        <v>136</v>
      </c>
      <c r="D206" s="214">
        <f>+D202/$D$202*100</f>
        <v>100</v>
      </c>
      <c r="E206" s="214">
        <f>+E202/$D$202*100</f>
        <v>92.46278818386851</v>
      </c>
      <c r="H206" s="188"/>
    </row>
    <row r="207" spans="3:8" ht="12.75" outlineLevel="1">
      <c r="C207" s="215" t="s">
        <v>137</v>
      </c>
      <c r="D207" s="214">
        <f>+D203/$D$203*100</f>
        <v>100</v>
      </c>
      <c r="E207" s="214">
        <f>+E203/$D$203*100</f>
        <v>102.11779351679952</v>
      </c>
      <c r="H207" s="216"/>
    </row>
    <row r="208" spans="3:7" ht="18" outlineLevel="1">
      <c r="C208" s="198"/>
      <c r="D208" s="213"/>
      <c r="E208" s="213"/>
      <c r="F208" s="213"/>
      <c r="G208" s="213"/>
    </row>
    <row r="209" ht="12.75" outlineLevel="1"/>
    <row r="210" ht="13.5" thickBot="1">
      <c r="G210" s="217"/>
    </row>
    <row r="211" spans="5:6" ht="12.75">
      <c r="E211" s="200" t="s">
        <v>138</v>
      </c>
      <c r="F211" s="201" t="s">
        <v>139</v>
      </c>
    </row>
    <row r="212" spans="2:6" ht="16.5" thickBot="1">
      <c r="B212" s="202" t="s">
        <v>147</v>
      </c>
      <c r="C212" s="170"/>
      <c r="D212" s="170"/>
      <c r="E212" s="203">
        <v>1.085</v>
      </c>
      <c r="F212" s="204">
        <v>4</v>
      </c>
    </row>
    <row r="213" ht="12.75" outlineLevel="1">
      <c r="C213" s="170" t="s">
        <v>149</v>
      </c>
    </row>
    <row r="214" spans="3:5" ht="33.75" outlineLevel="1">
      <c r="C214" s="178" t="s">
        <v>117</v>
      </c>
      <c r="D214" s="179" t="s">
        <v>118</v>
      </c>
      <c r="E214" s="179" t="s">
        <v>119</v>
      </c>
    </row>
    <row r="215" spans="2:5" ht="6" customHeight="1" outlineLevel="1" thickBot="1">
      <c r="B215" s="180"/>
      <c r="C215" s="180"/>
      <c r="D215" s="181"/>
      <c r="E215" s="181"/>
    </row>
    <row r="216" spans="2:5" ht="12.75" outlineLevel="1">
      <c r="B216" s="229" t="s">
        <v>120</v>
      </c>
      <c r="C216" s="182" t="s">
        <v>121</v>
      </c>
      <c r="D216" s="205">
        <f aca="true" t="shared" si="5" ref="D216:E221">+D187</f>
        <v>5.485326</v>
      </c>
      <c r="E216" s="205">
        <f t="shared" si="5"/>
        <v>8.552838</v>
      </c>
    </row>
    <row r="217" spans="2:5" ht="12.75" outlineLevel="1">
      <c r="B217" s="230"/>
      <c r="C217" s="182" t="s">
        <v>122</v>
      </c>
      <c r="D217" s="205">
        <f t="shared" si="5"/>
        <v>3.538402</v>
      </c>
      <c r="E217" s="205">
        <f t="shared" si="5"/>
        <v>5.183261999999999</v>
      </c>
    </row>
    <row r="218" spans="2:5" ht="12.75" outlineLevel="1">
      <c r="B218" s="230"/>
      <c r="C218" s="182" t="s">
        <v>123</v>
      </c>
      <c r="D218" s="205">
        <f t="shared" si="5"/>
        <v>3.7454199999999997</v>
      </c>
      <c r="E218" s="205">
        <f t="shared" si="5"/>
        <v>0</v>
      </c>
    </row>
    <row r="219" spans="2:5" ht="12.75" outlineLevel="1">
      <c r="B219" s="230"/>
      <c r="C219" s="182" t="s">
        <v>124</v>
      </c>
      <c r="D219" s="205">
        <f t="shared" si="5"/>
        <v>0</v>
      </c>
      <c r="E219" s="205">
        <f t="shared" si="5"/>
        <v>1.080185960744983</v>
      </c>
    </row>
    <row r="220" spans="2:5" ht="12.75" outlineLevel="1">
      <c r="B220" s="230"/>
      <c r="C220" s="182" t="s">
        <v>125</v>
      </c>
      <c r="D220" s="205">
        <f t="shared" si="5"/>
        <v>0.8237319999999999</v>
      </c>
      <c r="E220" s="205">
        <f t="shared" si="5"/>
        <v>1.2370307168619434</v>
      </c>
    </row>
    <row r="221" spans="2:5" ht="12.75" outlineLevel="1">
      <c r="B221" s="230"/>
      <c r="C221" s="182" t="s">
        <v>126</v>
      </c>
      <c r="D221" s="205">
        <f t="shared" si="5"/>
        <v>1.07198</v>
      </c>
      <c r="E221" s="205">
        <f t="shared" si="5"/>
        <v>1.2370307168619434</v>
      </c>
    </row>
    <row r="222" spans="2:7" ht="13.5" outlineLevel="1" thickBot="1">
      <c r="B222" s="230"/>
      <c r="C222" s="186" t="s">
        <v>127</v>
      </c>
      <c r="D222" s="206">
        <f>SUM(D216:D221)</f>
        <v>14.66486</v>
      </c>
      <c r="E222" s="206">
        <f>SUM(E216:E221)</f>
        <v>17.29034739446887</v>
      </c>
      <c r="F222"/>
      <c r="G222"/>
    </row>
    <row r="223" spans="2:7" ht="12.75" outlineLevel="1">
      <c r="B223" s="229" t="s">
        <v>128</v>
      </c>
      <c r="C223" s="189" t="s">
        <v>129</v>
      </c>
      <c r="D223" s="207">
        <f>+D194</f>
        <v>0</v>
      </c>
      <c r="E223" s="208">
        <v>3.2275325497426444</v>
      </c>
      <c r="F223"/>
      <c r="G223"/>
    </row>
    <row r="224" spans="2:5" ht="12.75" outlineLevel="1">
      <c r="B224" s="230"/>
      <c r="C224" s="192" t="s">
        <v>130</v>
      </c>
      <c r="D224" s="207">
        <f>+D195</f>
        <v>6.167574</v>
      </c>
      <c r="E224" s="208">
        <f>+E195</f>
        <v>5.120766</v>
      </c>
    </row>
    <row r="225" spans="2:5" ht="12.75" outlineLevel="1">
      <c r="B225" s="230"/>
      <c r="C225" s="192" t="s">
        <v>131</v>
      </c>
      <c r="D225" s="207">
        <f>+D196</f>
        <v>1.255779</v>
      </c>
      <c r="E225" s="208">
        <f>+E196</f>
        <v>1.083915</v>
      </c>
    </row>
    <row r="226" spans="2:5" ht="12.75" outlineLevel="1">
      <c r="B226" s="230"/>
      <c r="C226" s="192" t="s">
        <v>132</v>
      </c>
      <c r="D226" s="209">
        <f>+$D$152*1.2</f>
        <v>1.3019999999999998</v>
      </c>
      <c r="E226" s="209">
        <f>+$D$152*1.2</f>
        <v>1.3019999999999998</v>
      </c>
    </row>
    <row r="227" spans="2:5" ht="12.75" outlineLevel="1">
      <c r="B227" s="230"/>
      <c r="C227" s="192" t="s">
        <v>133</v>
      </c>
      <c r="D227" s="207">
        <f>+D198</f>
        <v>1.568259</v>
      </c>
      <c r="E227" s="208">
        <f>+E198</f>
        <v>0</v>
      </c>
    </row>
    <row r="228" spans="2:5" ht="12.75" outlineLevel="1">
      <c r="B228" s="230"/>
      <c r="C228" s="192" t="s">
        <v>134</v>
      </c>
      <c r="D228" s="207">
        <f>+D199</f>
        <v>0</v>
      </c>
      <c r="E228" s="208">
        <v>2.937549500652992</v>
      </c>
    </row>
    <row r="229" spans="2:5" ht="12.75" outlineLevel="1">
      <c r="B229" s="230"/>
      <c r="C229" s="192" t="s">
        <v>135</v>
      </c>
      <c r="D229" s="207">
        <f>+D200</f>
        <v>4.398156</v>
      </c>
      <c r="E229" s="207">
        <f>+E200</f>
        <v>4.191138</v>
      </c>
    </row>
    <row r="230" spans="2:5" ht="12.75" outlineLevel="1">
      <c r="B230" s="230"/>
      <c r="C230" s="192" t="s">
        <v>126</v>
      </c>
      <c r="D230" s="207">
        <f>+D201</f>
        <v>9.284562</v>
      </c>
      <c r="E230" s="207">
        <f>+E201</f>
        <v>9.284562</v>
      </c>
    </row>
    <row r="231" spans="2:7" ht="12.75" outlineLevel="1">
      <c r="B231" s="230"/>
      <c r="C231" s="196" t="s">
        <v>136</v>
      </c>
      <c r="D231" s="197">
        <f>SUM(D223:D230)</f>
        <v>23.976329999999997</v>
      </c>
      <c r="E231" s="197">
        <f>SUM(E223:E230)</f>
        <v>27.147463050395636</v>
      </c>
      <c r="G231" s="188"/>
    </row>
    <row r="232" spans="2:7" ht="18" outlineLevel="1">
      <c r="B232" s="210"/>
      <c r="C232" s="211" t="s">
        <v>137</v>
      </c>
      <c r="D232" s="212">
        <f>+D222+D231</f>
        <v>38.641189999999995</v>
      </c>
      <c r="E232" s="212">
        <f>+E222+E231</f>
        <v>44.43781044486451</v>
      </c>
      <c r="F232" s="217"/>
      <c r="G232" s="188"/>
    </row>
    <row r="233" ht="12.75" outlineLevel="1"/>
    <row r="234" spans="3:5" ht="12.75" outlineLevel="1">
      <c r="C234" s="186" t="s">
        <v>127</v>
      </c>
      <c r="D234" s="214">
        <f>+D222/$D$222*100</f>
        <v>100</v>
      </c>
      <c r="E234" s="214">
        <f>+E222/$D$222*100</f>
        <v>117.90325577243064</v>
      </c>
    </row>
    <row r="235" spans="3:5" ht="12.75" outlineLevel="1">
      <c r="C235" s="196" t="s">
        <v>136</v>
      </c>
      <c r="D235" s="214">
        <f>+D231/$D$231*100</f>
        <v>100</v>
      </c>
      <c r="E235" s="214">
        <f>+E231/$D$231*100</f>
        <v>113.22609861640893</v>
      </c>
    </row>
    <row r="236" spans="3:5" ht="12.75" outlineLevel="1">
      <c r="C236" s="215" t="s">
        <v>137</v>
      </c>
      <c r="D236" s="214">
        <f>+D232/$D$232*100</f>
        <v>100</v>
      </c>
      <c r="E236" s="214">
        <f>+E232/$D$232*100</f>
        <v>115.00114371442629</v>
      </c>
    </row>
    <row r="237" ht="12.75" outlineLevel="1"/>
    <row r="238" ht="13.5" thickBot="1"/>
    <row r="239" ht="12.75">
      <c r="E239" s="218" t="s">
        <v>138</v>
      </c>
    </row>
    <row r="240" spans="2:5" ht="16.5" thickBot="1">
      <c r="B240" s="202" t="s">
        <v>148</v>
      </c>
      <c r="C240" s="170"/>
      <c r="D240" s="170"/>
      <c r="E240" s="219">
        <v>1.085</v>
      </c>
    </row>
    <row r="241" ht="12.75" outlineLevel="1"/>
    <row r="242" spans="3:5" ht="33.75" outlineLevel="1">
      <c r="C242" s="178" t="s">
        <v>117</v>
      </c>
      <c r="D242" s="179" t="s">
        <v>118</v>
      </c>
      <c r="E242" s="179" t="s">
        <v>119</v>
      </c>
    </row>
    <row r="243" spans="2:5" ht="12.75" outlineLevel="1">
      <c r="B243" s="220"/>
      <c r="C243" s="220"/>
      <c r="D243" s="181"/>
      <c r="E243" s="181"/>
    </row>
    <row r="244" spans="2:7" ht="12.75" outlineLevel="1">
      <c r="B244" s="230" t="s">
        <v>120</v>
      </c>
      <c r="C244" s="221" t="s">
        <v>140</v>
      </c>
      <c r="D244" s="222">
        <v>15.583333333333334</v>
      </c>
      <c r="E244" s="222">
        <f>0.273*$D$244*1.25</f>
        <v>5.3178125000000005</v>
      </c>
      <c r="F244" s="223"/>
      <c r="G244" s="223"/>
    </row>
    <row r="245" spans="2:7" ht="12.75" outlineLevel="1">
      <c r="B245" s="230"/>
      <c r="C245" s="182" t="s">
        <v>141</v>
      </c>
      <c r="D245" s="205">
        <f>19.4434*$D$244*$E$240</f>
        <v>328.7473869166667</v>
      </c>
      <c r="E245" s="205">
        <f>76.8115*$E$244*$E$240</f>
        <v>443.18903300546873</v>
      </c>
      <c r="F245" s="223"/>
      <c r="G245" s="223"/>
    </row>
    <row r="246" spans="2:7" ht="12.75" outlineLevel="1">
      <c r="B246" s="230"/>
      <c r="C246" s="182" t="s">
        <v>142</v>
      </c>
      <c r="D246" s="205">
        <f>12.543*$D$244*$E$240</f>
        <v>212.07599875</v>
      </c>
      <c r="E246" s="205">
        <f>+$F$115*$E$244*$E$240</f>
        <v>268.8514154889063</v>
      </c>
      <c r="F246" s="223"/>
      <c r="G246" s="223"/>
    </row>
    <row r="247" spans="2:7" ht="12.75" outlineLevel="1">
      <c r="B247" s="230"/>
      <c r="C247" s="182" t="s">
        <v>123</v>
      </c>
      <c r="D247" s="205">
        <f>12.4041*$D$244*$E$240</f>
        <v>209.72748912499998</v>
      </c>
      <c r="E247" s="205">
        <v>0</v>
      </c>
      <c r="F247" s="223"/>
      <c r="G247" s="223"/>
    </row>
    <row r="248" spans="2:7" ht="12.75" outlineLevel="1">
      <c r="B248" s="230"/>
      <c r="C248" s="182" t="s">
        <v>124</v>
      </c>
      <c r="D248" s="205">
        <v>0</v>
      </c>
      <c r="E248" s="205">
        <f>+E136*$E$244*E240</f>
        <v>56.57982325087037</v>
      </c>
      <c r="F248" s="223"/>
      <c r="G248" s="223"/>
    </row>
    <row r="249" spans="2:7" ht="12.75" outlineLevel="1">
      <c r="B249" s="230"/>
      <c r="C249" s="182" t="s">
        <v>125</v>
      </c>
      <c r="D249" s="205">
        <f>2.919*$D$244*$E$240</f>
        <v>49.354208750000005</v>
      </c>
      <c r="E249" s="205">
        <f>+E146*$E$244*$E$240</f>
        <v>64.79530549320862</v>
      </c>
      <c r="F249" s="223"/>
      <c r="G249" s="223"/>
    </row>
    <row r="250" spans="2:7" ht="12.75" outlineLevel="1">
      <c r="B250" s="230"/>
      <c r="C250" s="182" t="s">
        <v>126</v>
      </c>
      <c r="D250" s="205">
        <f>3.8007*$D$244*$E$240</f>
        <v>64.261918875</v>
      </c>
      <c r="E250" s="205">
        <f>+E141*$E$244*$E$240</f>
        <v>62.923656428358825</v>
      </c>
      <c r="F250" s="223"/>
      <c r="G250" s="223"/>
    </row>
    <row r="251" spans="2:7" ht="13.5" outlineLevel="1" thickBot="1">
      <c r="B251" s="234"/>
      <c r="C251" s="224" t="s">
        <v>127</v>
      </c>
      <c r="D251" s="206">
        <f>SUM(D245:D250)</f>
        <v>864.1670024166667</v>
      </c>
      <c r="E251" s="206">
        <f>SUM(E245:E250)</f>
        <v>896.3392336668129</v>
      </c>
      <c r="F251" s="223"/>
      <c r="G251" s="223"/>
    </row>
    <row r="252" spans="2:7" ht="12.75" outlineLevel="1">
      <c r="B252" s="229" t="s">
        <v>128</v>
      </c>
      <c r="C252" s="225" t="s">
        <v>143</v>
      </c>
      <c r="D252" s="226">
        <f>2866/12</f>
        <v>238.83333333333334</v>
      </c>
      <c r="E252" s="226">
        <f>+$D$252</f>
        <v>238.83333333333334</v>
      </c>
      <c r="F252" s="223"/>
      <c r="G252" s="223"/>
    </row>
    <row r="253" spans="2:7" ht="12.75" outlineLevel="1">
      <c r="B253" s="230"/>
      <c r="C253" s="192" t="s">
        <v>129</v>
      </c>
      <c r="D253" s="207">
        <v>0</v>
      </c>
      <c r="E253" s="207">
        <v>64.4153651993547</v>
      </c>
      <c r="F253" s="223"/>
      <c r="G253" s="223"/>
    </row>
    <row r="254" spans="2:7" ht="12.75" outlineLevel="1">
      <c r="B254" s="230"/>
      <c r="C254" s="192" t="s">
        <v>130</v>
      </c>
      <c r="D254" s="207">
        <f>0.444*$D$252*$E$240</f>
        <v>115.05557</v>
      </c>
      <c r="E254" s="207">
        <f>+F95*$E$252*$E$240</f>
        <v>67.9449785</v>
      </c>
      <c r="F254" s="223"/>
      <c r="G254" s="223"/>
    </row>
    <row r="255" spans="2:7" ht="12.75" outlineLevel="1">
      <c r="B255" s="230"/>
      <c r="C255" s="192" t="s">
        <v>131</v>
      </c>
      <c r="D255" s="207">
        <f>0.0643*$D$252*$E$240</f>
        <v>16.662326916666668</v>
      </c>
      <c r="E255" s="207">
        <f>0.0555*$E$252*$E$240</f>
        <v>14.38194625</v>
      </c>
      <c r="F255" s="223"/>
      <c r="G255" s="223"/>
    </row>
    <row r="256" spans="2:7" ht="12.75" outlineLevel="1">
      <c r="B256" s="230"/>
      <c r="C256" s="192" t="s">
        <v>132</v>
      </c>
      <c r="D256" s="209">
        <f>+$D$152*1.2</f>
        <v>1.3019999999999998</v>
      </c>
      <c r="E256" s="209">
        <f>+$D$152*1.2</f>
        <v>1.3019999999999998</v>
      </c>
      <c r="F256" s="223"/>
      <c r="G256" s="223"/>
    </row>
    <row r="257" spans="2:7" ht="12.75" outlineLevel="1">
      <c r="B257" s="230"/>
      <c r="C257" s="192" t="s">
        <v>133</v>
      </c>
      <c r="D257" s="207">
        <f>0.0684*$D$252*$E$240</f>
        <v>17.724777</v>
      </c>
      <c r="E257" s="207">
        <v>0</v>
      </c>
      <c r="F257" s="223"/>
      <c r="G257" s="223"/>
    </row>
    <row r="258" spans="2:7" ht="12.75" outlineLevel="1">
      <c r="B258" s="230"/>
      <c r="C258" s="192" t="s">
        <v>134</v>
      </c>
      <c r="D258" s="207">
        <v>0</v>
      </c>
      <c r="E258" s="207">
        <v>58.627859195667206</v>
      </c>
      <c r="F258" s="223"/>
      <c r="G258" s="223"/>
    </row>
    <row r="259" spans="2:7" ht="12.75" outlineLevel="1">
      <c r="B259" s="230"/>
      <c r="C259" s="192" t="s">
        <v>135</v>
      </c>
      <c r="D259" s="207">
        <f>0.3724*$D$252*$E$240</f>
        <v>96.50156366666667</v>
      </c>
      <c r="E259" s="207">
        <f>+F103*$E$252*$E$240</f>
        <v>55.61019216666667</v>
      </c>
      <c r="F259" s="223"/>
      <c r="G259" s="223"/>
    </row>
    <row r="260" spans="2:7" ht="12.75" outlineLevel="1">
      <c r="B260" s="230"/>
      <c r="C260" s="192" t="s">
        <v>126</v>
      </c>
      <c r="D260" s="207">
        <f>0.4754*$D$252*$E$240</f>
        <v>123.19238283333334</v>
      </c>
      <c r="E260" s="207">
        <f>0.4754*$E$252*$E$240</f>
        <v>123.19238283333334</v>
      </c>
      <c r="F260" s="223"/>
      <c r="G260" s="223"/>
    </row>
    <row r="261" spans="2:7" ht="12.75" outlineLevel="1">
      <c r="B261" s="230"/>
      <c r="C261" s="196" t="s">
        <v>136</v>
      </c>
      <c r="D261" s="197">
        <f>SUM(D253:D260)</f>
        <v>370.43862041666665</v>
      </c>
      <c r="E261" s="197">
        <f>SUM(E253:E260)</f>
        <v>385.4747241450219</v>
      </c>
      <c r="F261" s="223"/>
      <c r="G261" s="223"/>
    </row>
    <row r="262" spans="2:7" ht="18" outlineLevel="1">
      <c r="B262" s="210"/>
      <c r="C262" s="211" t="s">
        <v>137</v>
      </c>
      <c r="D262" s="212">
        <f>+D251+D261</f>
        <v>1234.6056228333334</v>
      </c>
      <c r="E262" s="212">
        <f>+E251+E261</f>
        <v>1281.8139578118348</v>
      </c>
      <c r="F262" s="223"/>
      <c r="G262" s="223"/>
    </row>
    <row r="263" ht="12.75" outlineLevel="1"/>
    <row r="264" spans="3:5" ht="12.75" outlineLevel="1">
      <c r="C264" s="186" t="s">
        <v>127</v>
      </c>
      <c r="D264" s="214">
        <f>+D251/$D$251*100</f>
        <v>100</v>
      </c>
      <c r="E264" s="214">
        <f>+E251/$D$251*100</f>
        <v>103.72291827391878</v>
      </c>
    </row>
    <row r="265" spans="3:5" ht="12.75" outlineLevel="1">
      <c r="C265" s="196" t="s">
        <v>136</v>
      </c>
      <c r="D265" s="214">
        <f>+D261/$D$261*100</f>
        <v>100</v>
      </c>
      <c r="E265" s="214">
        <f>+E261/$D$261*100</f>
        <v>104.0590000339173</v>
      </c>
    </row>
    <row r="266" spans="3:5" ht="12.75" outlineLevel="1">
      <c r="C266" s="215" t="s">
        <v>137</v>
      </c>
      <c r="D266" s="214">
        <f>+D262/$D$262*100</f>
        <v>100</v>
      </c>
      <c r="E266" s="214">
        <f>+E262/$D$262*100</f>
        <v>103.82375830025474</v>
      </c>
    </row>
    <row r="270" ht="12.75">
      <c r="F270" s="188"/>
    </row>
  </sheetData>
  <mergeCells count="11">
    <mergeCell ref="B252:B261"/>
    <mergeCell ref="B187:B193"/>
    <mergeCell ref="B194:B202"/>
    <mergeCell ref="B216:B222"/>
    <mergeCell ref="B223:B231"/>
    <mergeCell ref="B244:B251"/>
    <mergeCell ref="B93:B99"/>
    <mergeCell ref="B101:B107"/>
    <mergeCell ref="B109:B127"/>
    <mergeCell ref="B171:B179"/>
    <mergeCell ref="B164:B170"/>
  </mergeCells>
  <printOptions gridLines="1" horizontalCentered="1" verticalCentered="1"/>
  <pageMargins left="0.24" right="0.17" top="0.81" bottom="0.35433070866141736" header="0.23" footer="0"/>
  <pageSetup horizontalDpi="600" verticalDpi="600" orientation="landscape" paperSize="9" scale="89" r:id="rId4"/>
  <headerFooter alignWithMargins="0">
    <oddHeader>&amp;L&amp;A&amp;C&amp;BSIRD d.o.o. Zaupno&amp;B&amp;RStran &amp;P</oddHeader>
  </headerFooter>
  <rowBreaks count="8" manualBreakCount="8">
    <brk id="30" max="7" man="1"/>
    <brk id="58" max="7" man="1"/>
    <brk id="88" max="7" man="1"/>
    <brk id="129" max="7" man="1"/>
    <brk id="159" max="7" man="1"/>
    <brk id="181" max="7" man="1"/>
    <brk id="210" max="7" man="1"/>
    <brk id="238" max="255" man="1"/>
  </rowBreaks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SIRD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</dc:creator>
  <cp:keywords/>
  <dc:description/>
  <cp:lastModifiedBy>Uporabnik</cp:lastModifiedBy>
  <cp:lastPrinted>2010-06-10T09:14:48Z</cp:lastPrinted>
  <dcterms:created xsi:type="dcterms:W3CDTF">2010-06-09T06:15:39Z</dcterms:created>
  <dcterms:modified xsi:type="dcterms:W3CDTF">2010-03-08T14:00:29Z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1130528565</vt:i4>
  </property>
  <property fmtid="{D5CDD505-2E9C-101B-9397-08002B2CF9AE}" pid="3" name="_EmailSubject">
    <vt:lpwstr>PC in simulacija za Občino Prevalje</vt:lpwstr>
  </property>
  <property fmtid="{D5CDD505-2E9C-101B-9397-08002B2CF9AE}" pid="4" name="_AuthorEmail">
    <vt:lpwstr>zvonko.erjavec@amis.net</vt:lpwstr>
  </property>
  <property fmtid="{D5CDD505-2E9C-101B-9397-08002B2CF9AE}" pid="5" name="_AuthorEmailDisplayName">
    <vt:lpwstr>Zvonko Erjavec</vt:lpwstr>
  </property>
  <property fmtid="{D5CDD505-2E9C-101B-9397-08002B2CF9AE}" pid="6" name="_ReviewingToolsShownOnce">
    <vt:lpwstr/>
  </property>
</Properties>
</file>