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730" tabRatio="546" firstSheet="4" activeTab="4"/>
  </bookViews>
  <sheets>
    <sheet name="JKP LOG" sheetId="1" state="hidden" r:id="rId1"/>
    <sheet name="skupaj_predlog1" sheetId="4" state="hidden" r:id="rId2"/>
    <sheet name="skupaj_ predlog2" sheetId="5" state="hidden" r:id="rId3"/>
    <sheet name="skupaj_ predlog2_znižano Pr" sheetId="6" state="hidden" r:id="rId4"/>
    <sheet name="skupaj_ predlog3_" sheetId="11" r:id="rId5"/>
    <sheet name="skupaj_ var1_Prevalje " sheetId="8" state="hidden" r:id="rId6"/>
    <sheet name="skupaj_ var2_Prevalje" sheetId="7" state="hidden" r:id="rId7"/>
    <sheet name="skupaj_ var3_Prevalje_FIKS.DEL" sheetId="9" state="hidden" r:id="rId8"/>
    <sheet name="druge komunale" sheetId="2" state="hidden" r:id="rId9"/>
    <sheet name="Dodatne Variante_Prevalje" sheetId="10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2" hidden="1">'skupaj_ predlog2'!$A$4:$V$39</definedName>
    <definedName name="_xlnm._FilterDatabase" localSheetId="3" hidden="1">'skupaj_ predlog2_znižano Pr'!$A$4:$Y$39</definedName>
    <definedName name="_xlnm._FilterDatabase" localSheetId="4" hidden="1">'skupaj_ predlog3_'!$A$4:$Y$39</definedName>
    <definedName name="_xlnm._FilterDatabase" localSheetId="5" hidden="1">'skupaj_ var1_Prevalje '!$A$4:$Y$39</definedName>
    <definedName name="_xlnm._FilterDatabase" localSheetId="6" hidden="1">'skupaj_ var2_Prevalje'!$A$4:$V$39</definedName>
    <definedName name="_xlnm._FilterDatabase" localSheetId="7" hidden="1">'skupaj_ var3_Prevalje_FIKS.DEL'!$A$4:$V$39</definedName>
    <definedName name="_xlnm.Print_Area" localSheetId="9">'Dodatne Variante_Prevalje'!$A$1:$AJ$24</definedName>
    <definedName name="_xlnm.Print_Area" localSheetId="2">'skupaj_ predlog2'!$A$1:$V$53</definedName>
    <definedName name="_xlnm.Print_Area" localSheetId="3">'skupaj_ predlog2_znižano Pr'!$A$1:$V$53</definedName>
    <definedName name="_xlnm.Print_Area" localSheetId="4">'skupaj_ predlog3_'!$A$1:$V$40</definedName>
    <definedName name="_xlnm.Print_Area" localSheetId="5">'skupaj_ var1_Prevalje '!$A$1:$V$60</definedName>
    <definedName name="_xlnm.Print_Area" localSheetId="6">'skupaj_ var2_Prevalje'!$A$1:$V$59</definedName>
    <definedName name="_xlnm.Print_Area" localSheetId="7">'skupaj_ var3_Prevalje_FIKS.DEL'!$A$1:$V$59</definedName>
    <definedName name="_xlnm.Print_Titles" localSheetId="9">'Dodatne Variante_Prevalje'!$A:$D</definedName>
    <definedName name="_xlnm.Print_Titles" localSheetId="0">'JKP LOG'!$A:$D</definedName>
    <definedName name="_xlnm.Print_Titles" localSheetId="2">'skupaj_ predlog2'!$A:$D</definedName>
    <definedName name="_xlnm.Print_Titles" localSheetId="3">'skupaj_ predlog2_znižano Pr'!$A:$D</definedName>
    <definedName name="_xlnm.Print_Titles" localSheetId="4">'skupaj_ predlog3_'!$A:$D</definedName>
    <definedName name="_xlnm.Print_Titles" localSheetId="5">'skupaj_ var1_Prevalje '!$A:$D</definedName>
    <definedName name="_xlnm.Print_Titles" localSheetId="6">'skupaj_ var2_Prevalje'!$A:$D</definedName>
    <definedName name="_xlnm.Print_Titles" localSheetId="7">'skupaj_ var3_Prevalje_FIKS.DEL'!$A:$D</definedName>
    <definedName name="_xlnm.Print_Titles" localSheetId="1">skupaj_predlog1!$A:$D</definedName>
  </definedNames>
  <calcPr calcId="145621"/>
</workbook>
</file>

<file path=xl/calcChain.xml><?xml version="1.0" encoding="utf-8"?>
<calcChain xmlns="http://schemas.openxmlformats.org/spreadsheetml/2006/main">
  <c r="X17" i="10" l="1"/>
  <c r="W17" i="10"/>
  <c r="W16" i="10"/>
  <c r="W12" i="10"/>
  <c r="W11" i="10"/>
  <c r="W9" i="10"/>
  <c r="W8" i="10"/>
  <c r="V17" i="10"/>
  <c r="U17" i="10"/>
  <c r="U12" i="10"/>
  <c r="U11" i="10"/>
  <c r="U9" i="10"/>
  <c r="U8" i="10"/>
  <c r="S12" i="10"/>
  <c r="S11" i="10"/>
  <c r="S9" i="10"/>
  <c r="S8" i="10"/>
  <c r="Q17" i="10"/>
  <c r="P16" i="10"/>
  <c r="P12" i="10"/>
  <c r="P11" i="10"/>
  <c r="P9" i="10"/>
  <c r="P8" i="10"/>
  <c r="O17" i="10"/>
  <c r="N12" i="10"/>
  <c r="N11" i="10"/>
  <c r="N9" i="10"/>
  <c r="E12" i="10"/>
  <c r="F12" i="10" s="1"/>
  <c r="E11" i="10"/>
  <c r="E9" i="10"/>
  <c r="F9" i="10" s="1"/>
  <c r="E8" i="10"/>
  <c r="F8" i="10" s="1"/>
  <c r="N8" i="10"/>
  <c r="L16" i="10"/>
  <c r="M16" i="10" s="1"/>
  <c r="L12" i="10"/>
  <c r="M12" i="10" s="1"/>
  <c r="L11" i="10"/>
  <c r="M11" i="10" s="1"/>
  <c r="L9" i="10"/>
  <c r="M9" i="10" s="1"/>
  <c r="L8" i="10"/>
  <c r="F11" i="10"/>
  <c r="C12" i="10"/>
  <c r="C11" i="10"/>
  <c r="C9" i="10"/>
  <c r="C8" i="10"/>
  <c r="F16" i="10"/>
  <c r="F15" i="10"/>
  <c r="F14" i="10"/>
  <c r="P15" i="10"/>
  <c r="M15" i="10"/>
  <c r="P14" i="10"/>
  <c r="M14" i="10"/>
  <c r="M8" i="10"/>
  <c r="P10" i="10" l="1"/>
  <c r="N10" i="10"/>
  <c r="N13" i="10"/>
  <c r="P13" i="10"/>
  <c r="P17" i="10"/>
  <c r="G35" i="11"/>
  <c r="G29" i="11"/>
  <c r="G23" i="11"/>
  <c r="G19" i="11"/>
  <c r="N17" i="10" l="1"/>
  <c r="G6" i="6"/>
  <c r="G6" i="11"/>
  <c r="H6" i="11" s="1"/>
  <c r="I6" i="11" s="1"/>
  <c r="G8" i="11"/>
  <c r="J8" i="11" s="1"/>
  <c r="G34" i="11"/>
  <c r="H34" i="11" s="1"/>
  <c r="I34" i="11" s="1"/>
  <c r="G33" i="11"/>
  <c r="H33" i="11" s="1"/>
  <c r="H29" i="11"/>
  <c r="I29" i="11" s="1"/>
  <c r="G28" i="11"/>
  <c r="H28" i="11" s="1"/>
  <c r="M28" i="11" s="1"/>
  <c r="N28" i="11" s="1"/>
  <c r="G27" i="11"/>
  <c r="H27" i="11" s="1"/>
  <c r="G22" i="11"/>
  <c r="J22" i="11" s="1"/>
  <c r="G18" i="11"/>
  <c r="H18" i="11" s="1"/>
  <c r="G17" i="11"/>
  <c r="H17" i="11" s="1"/>
  <c r="G11" i="11"/>
  <c r="J11" i="11" s="1"/>
  <c r="G7" i="11"/>
  <c r="H7" i="11" s="1"/>
  <c r="I7" i="11" s="1"/>
  <c r="G5" i="11"/>
  <c r="H5" i="11" s="1"/>
  <c r="R36" i="11"/>
  <c r="Q36" i="11"/>
  <c r="K36" i="11"/>
  <c r="J36" i="11"/>
  <c r="H36" i="11"/>
  <c r="T36" i="11" s="1"/>
  <c r="F36" i="11"/>
  <c r="R35" i="11"/>
  <c r="Q35" i="11"/>
  <c r="K35" i="11"/>
  <c r="F35" i="11"/>
  <c r="L35" i="11" s="1"/>
  <c r="F33" i="11"/>
  <c r="L33" i="11" s="1"/>
  <c r="K30" i="11"/>
  <c r="H30" i="11"/>
  <c r="I30" i="11" s="1"/>
  <c r="K29" i="11"/>
  <c r="J25" i="11"/>
  <c r="H25" i="11"/>
  <c r="I25" i="11" s="1"/>
  <c r="F25" i="11"/>
  <c r="R24" i="11"/>
  <c r="Q24" i="11"/>
  <c r="K24" i="11"/>
  <c r="J24" i="11"/>
  <c r="H24" i="11"/>
  <c r="F24" i="11"/>
  <c r="L24" i="11" s="1"/>
  <c r="L30" i="11" s="1"/>
  <c r="R23" i="11"/>
  <c r="Q23" i="11"/>
  <c r="K23" i="11"/>
  <c r="F23" i="11"/>
  <c r="F22" i="11"/>
  <c r="L22" i="11" s="1"/>
  <c r="R20" i="11"/>
  <c r="Q20" i="11"/>
  <c r="K20" i="11"/>
  <c r="J20" i="11"/>
  <c r="H20" i="11"/>
  <c r="F20" i="11"/>
  <c r="R19" i="11"/>
  <c r="Q19" i="11"/>
  <c r="K19" i="11"/>
  <c r="J19" i="11"/>
  <c r="H19" i="11"/>
  <c r="T19" i="11" s="1"/>
  <c r="F19" i="11"/>
  <c r="L19" i="11" s="1"/>
  <c r="F17" i="11"/>
  <c r="L17" i="11" s="1"/>
  <c r="J14" i="11"/>
  <c r="H14" i="11"/>
  <c r="F14" i="11"/>
  <c r="S13" i="11"/>
  <c r="R13" i="11"/>
  <c r="Q13" i="11"/>
  <c r="L13" i="11"/>
  <c r="K13" i="11"/>
  <c r="J13" i="11"/>
  <c r="H13" i="11"/>
  <c r="F13" i="11"/>
  <c r="R12" i="11"/>
  <c r="Q12" i="11"/>
  <c r="S12" i="11" s="1"/>
  <c r="S15" i="11" s="1"/>
  <c r="K12" i="11"/>
  <c r="F12" i="11"/>
  <c r="F11" i="11"/>
  <c r="L11" i="11" s="1"/>
  <c r="R9" i="11"/>
  <c r="Q9" i="11"/>
  <c r="S9" i="11" s="1"/>
  <c r="K9" i="11"/>
  <c r="J9" i="11"/>
  <c r="H9" i="11"/>
  <c r="I9" i="11" s="1"/>
  <c r="F9" i="11"/>
  <c r="S8" i="11"/>
  <c r="R8" i="11"/>
  <c r="Q8" i="11"/>
  <c r="L8" i="11"/>
  <c r="K8" i="11"/>
  <c r="F8" i="11"/>
  <c r="F5" i="11"/>
  <c r="L5" i="11" s="1"/>
  <c r="J17" i="11" l="1"/>
  <c r="H8" i="11"/>
  <c r="H11" i="11"/>
  <c r="M11" i="11" s="1"/>
  <c r="J5" i="11"/>
  <c r="I24" i="11"/>
  <c r="S23" i="11"/>
  <c r="J33" i="11"/>
  <c r="M9" i="11"/>
  <c r="T9" i="11"/>
  <c r="U9" i="11" s="1"/>
  <c r="I14" i="11"/>
  <c r="S35" i="11"/>
  <c r="M36" i="11"/>
  <c r="S36" i="11"/>
  <c r="U36" i="11" s="1"/>
  <c r="I36" i="11"/>
  <c r="I33" i="11"/>
  <c r="M24" i="11"/>
  <c r="N24" i="11" s="1"/>
  <c r="T24" i="11"/>
  <c r="U24" i="11" s="1"/>
  <c r="I20" i="11"/>
  <c r="T20" i="11"/>
  <c r="M30" i="11"/>
  <c r="N30" i="11" s="1"/>
  <c r="O30" i="11" s="1"/>
  <c r="S19" i="11"/>
  <c r="U19" i="11" s="1"/>
  <c r="S24" i="11"/>
  <c r="S26" i="11" s="1"/>
  <c r="M19" i="11"/>
  <c r="N19" i="11" s="1"/>
  <c r="X19" i="11" s="1"/>
  <c r="H22" i="11"/>
  <c r="I19" i="11"/>
  <c r="T8" i="11"/>
  <c r="U8" i="11" s="1"/>
  <c r="L20" i="11"/>
  <c r="M20" i="11"/>
  <c r="N20" i="11" s="1"/>
  <c r="I5" i="11"/>
  <c r="T5" i="11"/>
  <c r="M8" i="11"/>
  <c r="N8" i="11" s="1"/>
  <c r="I8" i="11"/>
  <c r="T13" i="11"/>
  <c r="U13" i="11" s="1"/>
  <c r="I17" i="11"/>
  <c r="T17" i="11"/>
  <c r="S20" i="11"/>
  <c r="M13" i="11"/>
  <c r="N13" i="11" s="1"/>
  <c r="I13" i="11"/>
  <c r="T18" i="11"/>
  <c r="U18" i="11" s="1"/>
  <c r="I18" i="11"/>
  <c r="N11" i="11"/>
  <c r="L21" i="11"/>
  <c r="L10" i="11"/>
  <c r="L16" i="11" s="1"/>
  <c r="M5" i="11"/>
  <c r="S10" i="11"/>
  <c r="S16" i="11" s="1"/>
  <c r="M17" i="11"/>
  <c r="L23" i="11"/>
  <c r="L26" i="11" s="1"/>
  <c r="I27" i="11"/>
  <c r="M27" i="11"/>
  <c r="M29" i="11"/>
  <c r="N29" i="11" s="1"/>
  <c r="M33" i="11"/>
  <c r="T33" i="11"/>
  <c r="L9" i="11"/>
  <c r="N9" i="11" s="1"/>
  <c r="L12" i="11"/>
  <c r="L15" i="11" s="1"/>
  <c r="L36" i="11"/>
  <c r="H19" i="8"/>
  <c r="I11" i="11" l="1"/>
  <c r="T11" i="11"/>
  <c r="S37" i="11"/>
  <c r="S38" i="11" s="1"/>
  <c r="N36" i="11"/>
  <c r="U20" i="11"/>
  <c r="M22" i="11"/>
  <c r="N22" i="11" s="1"/>
  <c r="T22" i="11"/>
  <c r="U22" i="11" s="1"/>
  <c r="I22" i="11"/>
  <c r="M10" i="11"/>
  <c r="N5" i="11"/>
  <c r="T10" i="11"/>
  <c r="U5" i="11"/>
  <c r="N27" i="11"/>
  <c r="N31" i="11" s="1"/>
  <c r="M31" i="11"/>
  <c r="S21" i="11"/>
  <c r="S32" i="11" s="1"/>
  <c r="U33" i="11"/>
  <c r="N17" i="11"/>
  <c r="M21" i="11"/>
  <c r="N33" i="11"/>
  <c r="L37" i="11"/>
  <c r="L38" i="11" s="1"/>
  <c r="L32" i="11"/>
  <c r="X8" i="11"/>
  <c r="U17" i="11"/>
  <c r="T21" i="11"/>
  <c r="U11" i="11"/>
  <c r="U15" i="10"/>
  <c r="W15" i="10"/>
  <c r="AI14" i="10"/>
  <c r="AI15" i="10"/>
  <c r="V21" i="11" l="1"/>
  <c r="N44" i="11"/>
  <c r="N21" i="11"/>
  <c r="N43" i="11"/>
  <c r="N42" i="11"/>
  <c r="N10" i="11"/>
  <c r="U43" i="11"/>
  <c r="U21" i="11"/>
  <c r="U44" i="11"/>
  <c r="O10" i="11"/>
  <c r="U42" i="11"/>
  <c r="U10" i="11"/>
  <c r="O21" i="11"/>
  <c r="V10" i="11"/>
  <c r="AF12" i="10"/>
  <c r="AF11" i="10"/>
  <c r="AF16" i="10"/>
  <c r="AF15" i="10"/>
  <c r="AF14" i="10"/>
  <c r="AF9" i="10"/>
  <c r="AF8" i="10"/>
  <c r="Z15" i="10"/>
  <c r="Z14" i="10"/>
  <c r="Z12" i="10"/>
  <c r="Z11" i="10"/>
  <c r="Z9" i="10"/>
  <c r="Z8" i="10"/>
  <c r="AC16" i="10"/>
  <c r="AC15" i="10"/>
  <c r="AC14" i="10"/>
  <c r="AC12" i="10"/>
  <c r="AC11" i="10"/>
  <c r="AA13" i="10"/>
  <c r="T15" i="10"/>
  <c r="D15" i="10"/>
  <c r="T12" i="10"/>
  <c r="D12" i="10"/>
  <c r="T9" i="10"/>
  <c r="D9" i="10"/>
  <c r="T14" i="10"/>
  <c r="D14" i="10"/>
  <c r="T11" i="10"/>
  <c r="D11" i="10"/>
  <c r="S16" i="10"/>
  <c r="T16" i="10" s="1"/>
  <c r="T8" i="10"/>
  <c r="D8" i="10"/>
  <c r="U45" i="11" l="1"/>
  <c r="N45" i="11"/>
  <c r="AC13" i="10"/>
  <c r="Z16" i="10"/>
  <c r="S36" i="9"/>
  <c r="R36" i="9"/>
  <c r="Q36" i="9"/>
  <c r="K36" i="9"/>
  <c r="L36" i="9" s="1"/>
  <c r="J36" i="9"/>
  <c r="H36" i="9"/>
  <c r="I36" i="9" s="1"/>
  <c r="F36" i="9"/>
  <c r="R35" i="9"/>
  <c r="Q35" i="9"/>
  <c r="S35" i="9" s="1"/>
  <c r="K35" i="9"/>
  <c r="G35" i="9"/>
  <c r="J35" i="9" s="1"/>
  <c r="F35" i="9"/>
  <c r="G34" i="9"/>
  <c r="H34" i="9" s="1"/>
  <c r="I34" i="9" s="1"/>
  <c r="G33" i="9"/>
  <c r="J33" i="9" s="1"/>
  <c r="F33" i="9"/>
  <c r="L33" i="9" s="1"/>
  <c r="K30" i="9"/>
  <c r="M30" i="9" s="1"/>
  <c r="N30" i="9" s="1"/>
  <c r="O30" i="9" s="1"/>
  <c r="I30" i="9"/>
  <c r="H30" i="9"/>
  <c r="K29" i="9"/>
  <c r="G29" i="9"/>
  <c r="H29" i="9" s="1"/>
  <c r="I29" i="9" s="1"/>
  <c r="G28" i="9"/>
  <c r="H28" i="9" s="1"/>
  <c r="M28" i="9" s="1"/>
  <c r="N28" i="9" s="1"/>
  <c r="G27" i="9"/>
  <c r="H27" i="9" s="1"/>
  <c r="J25" i="9"/>
  <c r="H25" i="9"/>
  <c r="I25" i="9" s="1"/>
  <c r="F25" i="9"/>
  <c r="S24" i="9"/>
  <c r="R24" i="9"/>
  <c r="T24" i="9" s="1"/>
  <c r="U24" i="9" s="1"/>
  <c r="Q24" i="9"/>
  <c r="L24" i="9"/>
  <c r="L30" i="9" s="1"/>
  <c r="K24" i="9"/>
  <c r="J24" i="9"/>
  <c r="H24" i="9"/>
  <c r="M24" i="9" s="1"/>
  <c r="N24" i="9" s="1"/>
  <c r="F24" i="9"/>
  <c r="R23" i="9"/>
  <c r="Q23" i="9"/>
  <c r="S23" i="9" s="1"/>
  <c r="S26" i="9" s="1"/>
  <c r="K23" i="9"/>
  <c r="J23" i="9"/>
  <c r="G23" i="9"/>
  <c r="H23" i="9" s="1"/>
  <c r="I23" i="9" s="1"/>
  <c r="F23" i="9"/>
  <c r="G22" i="9"/>
  <c r="J22" i="9" s="1"/>
  <c r="F22" i="9"/>
  <c r="L22" i="9" s="1"/>
  <c r="R20" i="9"/>
  <c r="Q20" i="9"/>
  <c r="K20" i="9"/>
  <c r="J20" i="9"/>
  <c r="H20" i="9"/>
  <c r="F20" i="9"/>
  <c r="S19" i="9"/>
  <c r="R19" i="9"/>
  <c r="Q19" i="9"/>
  <c r="L19" i="9"/>
  <c r="K19" i="9"/>
  <c r="J19" i="9"/>
  <c r="H19" i="9"/>
  <c r="M19" i="9" s="1"/>
  <c r="N19" i="9" s="1"/>
  <c r="G19" i="9"/>
  <c r="F19" i="9"/>
  <c r="G18" i="9"/>
  <c r="H18" i="9" s="1"/>
  <c r="I18" i="9" s="1"/>
  <c r="L17" i="9"/>
  <c r="G17" i="9"/>
  <c r="J17" i="9" s="1"/>
  <c r="F17" i="9"/>
  <c r="J14" i="9"/>
  <c r="H14" i="9"/>
  <c r="F14" i="9"/>
  <c r="S13" i="9"/>
  <c r="R13" i="9"/>
  <c r="Q13" i="9"/>
  <c r="L13" i="9"/>
  <c r="K13" i="9"/>
  <c r="J13" i="9"/>
  <c r="H13" i="9"/>
  <c r="M13" i="9" s="1"/>
  <c r="N13" i="9" s="1"/>
  <c r="F13" i="9"/>
  <c r="S12" i="9"/>
  <c r="S15" i="9" s="1"/>
  <c r="R12" i="9"/>
  <c r="Q12" i="9"/>
  <c r="K12" i="9"/>
  <c r="G12" i="9"/>
  <c r="H12" i="9" s="1"/>
  <c r="T12" i="9" s="1"/>
  <c r="U12" i="9" s="1"/>
  <c r="F12" i="9"/>
  <c r="L11" i="9"/>
  <c r="G11" i="9"/>
  <c r="J11" i="9" s="1"/>
  <c r="F11" i="9"/>
  <c r="R9" i="9"/>
  <c r="Q9" i="9"/>
  <c r="S9" i="9" s="1"/>
  <c r="K9" i="9"/>
  <c r="J9" i="9"/>
  <c r="H9" i="9"/>
  <c r="T9" i="9" s="1"/>
  <c r="F9" i="9"/>
  <c r="R8" i="9"/>
  <c r="Q8" i="9"/>
  <c r="S8" i="9" s="1"/>
  <c r="K8" i="9"/>
  <c r="G8" i="9"/>
  <c r="J8" i="9" s="1"/>
  <c r="F8" i="9"/>
  <c r="G7" i="9"/>
  <c r="H7" i="9" s="1"/>
  <c r="I7" i="9" s="1"/>
  <c r="G6" i="9"/>
  <c r="H6" i="9" s="1"/>
  <c r="I6" i="9" s="1"/>
  <c r="L5" i="9"/>
  <c r="G5" i="9"/>
  <c r="J5" i="9" s="1"/>
  <c r="F5" i="9"/>
  <c r="H33" i="9" l="1"/>
  <c r="T33" i="9" s="1"/>
  <c r="U33" i="9" s="1"/>
  <c r="U44" i="9" s="1"/>
  <c r="I9" i="9"/>
  <c r="M29" i="9"/>
  <c r="N29" i="9" s="1"/>
  <c r="U9" i="9"/>
  <c r="M20" i="9"/>
  <c r="M36" i="9"/>
  <c r="N36" i="9" s="1"/>
  <c r="T36" i="9"/>
  <c r="T20" i="9"/>
  <c r="U20" i="9" s="1"/>
  <c r="H22" i="9"/>
  <c r="I33" i="9"/>
  <c r="T19" i="9"/>
  <c r="U19" i="9" s="1"/>
  <c r="H35" i="9"/>
  <c r="I35" i="9" s="1"/>
  <c r="S21" i="9"/>
  <c r="S32" i="9" s="1"/>
  <c r="L21" i="9"/>
  <c r="S10" i="9"/>
  <c r="S16" i="9" s="1"/>
  <c r="X19" i="9"/>
  <c r="T23" i="9"/>
  <c r="U23" i="9" s="1"/>
  <c r="M27" i="9"/>
  <c r="I27" i="9"/>
  <c r="M12" i="9"/>
  <c r="N12" i="9" s="1"/>
  <c r="X12" i="9" s="1"/>
  <c r="T35" i="9"/>
  <c r="L9" i="9"/>
  <c r="L10" i="9" s="1"/>
  <c r="L16" i="9" s="1"/>
  <c r="H11" i="9"/>
  <c r="I12" i="9"/>
  <c r="I13" i="9"/>
  <c r="H17" i="9"/>
  <c r="T18" i="9"/>
  <c r="U18" i="9" s="1"/>
  <c r="L20" i="9"/>
  <c r="N20" i="9" s="1"/>
  <c r="M23" i="9"/>
  <c r="N23" i="9" s="1"/>
  <c r="X23" i="9" s="1"/>
  <c r="U36" i="9"/>
  <c r="H5" i="9"/>
  <c r="L8" i="9"/>
  <c r="M9" i="9"/>
  <c r="J12" i="9"/>
  <c r="I19" i="9"/>
  <c r="I20" i="9"/>
  <c r="L23" i="9"/>
  <c r="L26" i="9" s="1"/>
  <c r="L35" i="9"/>
  <c r="L37" i="9" s="1"/>
  <c r="L38" i="9" s="1"/>
  <c r="H8" i="9"/>
  <c r="I8" i="9" s="1"/>
  <c r="L12" i="9"/>
  <c r="L15" i="9" s="1"/>
  <c r="T13" i="9"/>
  <c r="U13" i="9" s="1"/>
  <c r="I14" i="9"/>
  <c r="S20" i="9"/>
  <c r="I24" i="9"/>
  <c r="S37" i="9"/>
  <c r="S38" i="9" s="1"/>
  <c r="G8" i="7"/>
  <c r="M33" i="9" l="1"/>
  <c r="N33" i="9" s="1"/>
  <c r="N44" i="9" s="1"/>
  <c r="M35" i="9"/>
  <c r="N35" i="9" s="1"/>
  <c r="M8" i="9"/>
  <c r="N8" i="9" s="1"/>
  <c r="N48" i="9" s="1"/>
  <c r="T8" i="9"/>
  <c r="U8" i="9" s="1"/>
  <c r="I22" i="9"/>
  <c r="T22" i="9"/>
  <c r="M22" i="9"/>
  <c r="N22" i="9" s="1"/>
  <c r="N26" i="9" s="1"/>
  <c r="T5" i="9"/>
  <c r="I5" i="9"/>
  <c r="M5" i="9"/>
  <c r="T17" i="9"/>
  <c r="I17" i="9"/>
  <c r="M17" i="9"/>
  <c r="L32" i="9"/>
  <c r="M31" i="9"/>
  <c r="N27" i="9"/>
  <c r="N31" i="9" s="1"/>
  <c r="N9" i="9"/>
  <c r="U35" i="9"/>
  <c r="U37" i="9" s="1"/>
  <c r="U38" i="9" s="1"/>
  <c r="Y38" i="9" s="1"/>
  <c r="T37" i="9"/>
  <c r="N49" i="9"/>
  <c r="M26" i="9"/>
  <c r="O26" i="9" s="1"/>
  <c r="T11" i="9"/>
  <c r="I11" i="9"/>
  <c r="M11" i="9"/>
  <c r="R36" i="8"/>
  <c r="Q36" i="8"/>
  <c r="K36" i="8"/>
  <c r="J36" i="8"/>
  <c r="H36" i="8"/>
  <c r="F36" i="8"/>
  <c r="L36" i="8" s="1"/>
  <c r="R35" i="8"/>
  <c r="Q35" i="8"/>
  <c r="K35" i="8"/>
  <c r="G35" i="8"/>
  <c r="H35" i="8" s="1"/>
  <c r="F35" i="8"/>
  <c r="G34" i="8"/>
  <c r="H34" i="8" s="1"/>
  <c r="I34" i="8" s="1"/>
  <c r="G33" i="8"/>
  <c r="F33" i="8"/>
  <c r="L33" i="8" s="1"/>
  <c r="K30" i="8"/>
  <c r="H30" i="8"/>
  <c r="I30" i="8" s="1"/>
  <c r="K29" i="8"/>
  <c r="G29" i="8"/>
  <c r="H29" i="8" s="1"/>
  <c r="I29" i="8" s="1"/>
  <c r="G28" i="8"/>
  <c r="H28" i="8" s="1"/>
  <c r="M28" i="8" s="1"/>
  <c r="N28" i="8" s="1"/>
  <c r="G27" i="8"/>
  <c r="H27" i="8" s="1"/>
  <c r="I27" i="8" s="1"/>
  <c r="J25" i="8"/>
  <c r="H25" i="8"/>
  <c r="F25" i="8"/>
  <c r="R24" i="8"/>
  <c r="Q24" i="8"/>
  <c r="K24" i="8"/>
  <c r="J24" i="8"/>
  <c r="H24" i="8"/>
  <c r="F24" i="8"/>
  <c r="R23" i="8"/>
  <c r="Q23" i="8"/>
  <c r="K23" i="8"/>
  <c r="J23" i="8"/>
  <c r="H23" i="8"/>
  <c r="T23" i="8" s="1"/>
  <c r="F23" i="8"/>
  <c r="L23" i="8" s="1"/>
  <c r="G22" i="8"/>
  <c r="F22" i="8"/>
  <c r="L22" i="8" s="1"/>
  <c r="R20" i="8"/>
  <c r="Q20" i="8"/>
  <c r="K20" i="8"/>
  <c r="J20" i="8"/>
  <c r="H20" i="8"/>
  <c r="T20" i="8" s="1"/>
  <c r="F20" i="8"/>
  <c r="R19" i="8"/>
  <c r="Q19" i="8"/>
  <c r="K19" i="8"/>
  <c r="F19" i="8"/>
  <c r="G18" i="8"/>
  <c r="H18" i="8" s="1"/>
  <c r="T18" i="8" s="1"/>
  <c r="U18" i="8" s="1"/>
  <c r="G17" i="8"/>
  <c r="H17" i="8" s="1"/>
  <c r="F17" i="8"/>
  <c r="L17" i="8" s="1"/>
  <c r="J14" i="8"/>
  <c r="H14" i="8"/>
  <c r="F14" i="8"/>
  <c r="R13" i="8"/>
  <c r="Q13" i="8"/>
  <c r="K13" i="8"/>
  <c r="J13" i="8"/>
  <c r="H13" i="8"/>
  <c r="F13" i="8"/>
  <c r="R12" i="8"/>
  <c r="Q12" i="8"/>
  <c r="K12" i="8"/>
  <c r="G12" i="8"/>
  <c r="J12" i="8" s="1"/>
  <c r="F12" i="8"/>
  <c r="S12" i="8" s="1"/>
  <c r="G11" i="8"/>
  <c r="H11" i="8" s="1"/>
  <c r="T11" i="8" s="1"/>
  <c r="F11" i="8"/>
  <c r="L11" i="8" s="1"/>
  <c r="R9" i="8"/>
  <c r="Q9" i="8"/>
  <c r="K9" i="8"/>
  <c r="J9" i="8"/>
  <c r="H9" i="8"/>
  <c r="F9" i="8"/>
  <c r="L9" i="8" s="1"/>
  <c r="R8" i="8"/>
  <c r="Q8" i="8"/>
  <c r="K8" i="8"/>
  <c r="H8" i="8"/>
  <c r="F8" i="8"/>
  <c r="G7" i="8"/>
  <c r="H7" i="8" s="1"/>
  <c r="I7" i="8" s="1"/>
  <c r="G6" i="8"/>
  <c r="H6" i="8" s="1"/>
  <c r="I6" i="8" s="1"/>
  <c r="G5" i="8"/>
  <c r="H5" i="8" s="1"/>
  <c r="F5" i="8"/>
  <c r="L5" i="8" s="1"/>
  <c r="G23" i="7"/>
  <c r="G19" i="7"/>
  <c r="R36" i="7"/>
  <c r="Q36" i="7"/>
  <c r="K36" i="7"/>
  <c r="J36" i="7"/>
  <c r="H36" i="7"/>
  <c r="F36" i="7"/>
  <c r="R35" i="7"/>
  <c r="Q35" i="7"/>
  <c r="K35" i="7"/>
  <c r="G35" i="7"/>
  <c r="H35" i="7" s="1"/>
  <c r="M35" i="7" s="1"/>
  <c r="F35" i="7"/>
  <c r="S35" i="7" s="1"/>
  <c r="G34" i="7"/>
  <c r="H34" i="7" s="1"/>
  <c r="I34" i="7" s="1"/>
  <c r="G33" i="7"/>
  <c r="H33" i="7" s="1"/>
  <c r="F33" i="7"/>
  <c r="L33" i="7" s="1"/>
  <c r="K30" i="7"/>
  <c r="M30" i="7" s="1"/>
  <c r="H30" i="7"/>
  <c r="I30" i="7" s="1"/>
  <c r="K29" i="7"/>
  <c r="G29" i="7"/>
  <c r="H29" i="7" s="1"/>
  <c r="G28" i="7"/>
  <c r="H28" i="7" s="1"/>
  <c r="M28" i="7" s="1"/>
  <c r="N28" i="7" s="1"/>
  <c r="G27" i="7"/>
  <c r="H27" i="7" s="1"/>
  <c r="M27" i="7" s="1"/>
  <c r="J25" i="7"/>
  <c r="H25" i="7"/>
  <c r="I25" i="7" s="1"/>
  <c r="F25" i="7"/>
  <c r="R24" i="7"/>
  <c r="Q24" i="7"/>
  <c r="S24" i="7" s="1"/>
  <c r="K24" i="7"/>
  <c r="J24" i="7"/>
  <c r="I24" i="7"/>
  <c r="H24" i="7"/>
  <c r="T24" i="7" s="1"/>
  <c r="F24" i="7"/>
  <c r="R23" i="7"/>
  <c r="Q23" i="7"/>
  <c r="S23" i="7" s="1"/>
  <c r="K23" i="7"/>
  <c r="F23" i="7"/>
  <c r="G22" i="7"/>
  <c r="H22" i="7" s="1"/>
  <c r="F22" i="7"/>
  <c r="L22" i="7" s="1"/>
  <c r="R20" i="7"/>
  <c r="Q20" i="7"/>
  <c r="K20" i="7"/>
  <c r="J20" i="7"/>
  <c r="H20" i="7"/>
  <c r="F20" i="7"/>
  <c r="I20" i="7" s="1"/>
  <c r="R19" i="7"/>
  <c r="Q19" i="7"/>
  <c r="S19" i="7" s="1"/>
  <c r="K19" i="7"/>
  <c r="L19" i="7" s="1"/>
  <c r="F19" i="7"/>
  <c r="G18" i="7"/>
  <c r="H18" i="7" s="1"/>
  <c r="T18" i="7" s="1"/>
  <c r="U18" i="7" s="1"/>
  <c r="G17" i="7"/>
  <c r="J17" i="7" s="1"/>
  <c r="F17" i="7"/>
  <c r="L17" i="7" s="1"/>
  <c r="J14" i="7"/>
  <c r="H14" i="7"/>
  <c r="F14" i="7"/>
  <c r="R13" i="7"/>
  <c r="Q13" i="7"/>
  <c r="K13" i="7"/>
  <c r="J13" i="7"/>
  <c r="H13" i="7"/>
  <c r="F13" i="7"/>
  <c r="S13" i="7" s="1"/>
  <c r="R12" i="7"/>
  <c r="Q12" i="7"/>
  <c r="K12" i="7"/>
  <c r="G12" i="7"/>
  <c r="J12" i="7" s="1"/>
  <c r="F12" i="7"/>
  <c r="L12" i="7" s="1"/>
  <c r="G11" i="7"/>
  <c r="J11" i="7" s="1"/>
  <c r="F11" i="7"/>
  <c r="L11" i="7" s="1"/>
  <c r="R9" i="7"/>
  <c r="Q9" i="7"/>
  <c r="K9" i="7"/>
  <c r="J9" i="7"/>
  <c r="H9" i="7"/>
  <c r="F9" i="7"/>
  <c r="R8" i="7"/>
  <c r="Q8" i="7"/>
  <c r="K8" i="7"/>
  <c r="H8" i="7"/>
  <c r="F8" i="7"/>
  <c r="S8" i="7" s="1"/>
  <c r="G7" i="7"/>
  <c r="H7" i="7" s="1"/>
  <c r="I7" i="7" s="1"/>
  <c r="G6" i="7"/>
  <c r="H6" i="7" s="1"/>
  <c r="I6" i="7" s="1"/>
  <c r="G5" i="7"/>
  <c r="H5" i="7" s="1"/>
  <c r="F5" i="7"/>
  <c r="L5" i="7" s="1"/>
  <c r="M37" i="9" l="1"/>
  <c r="U22" i="9"/>
  <c r="U26" i="9" s="1"/>
  <c r="T26" i="9"/>
  <c r="V26" i="9" s="1"/>
  <c r="X8" i="9"/>
  <c r="U11" i="9"/>
  <c r="U15" i="9" s="1"/>
  <c r="T15" i="9"/>
  <c r="V15" i="9" s="1"/>
  <c r="N5" i="9"/>
  <c r="M10" i="9"/>
  <c r="N50" i="9"/>
  <c r="N51" i="9" s="1"/>
  <c r="X35" i="9"/>
  <c r="N37" i="9"/>
  <c r="N38" i="9" s="1"/>
  <c r="X38" i="9" s="1"/>
  <c r="M21" i="9"/>
  <c r="N17" i="9"/>
  <c r="M15" i="9"/>
  <c r="O15" i="9" s="1"/>
  <c r="N11" i="9"/>
  <c r="N15" i="9" s="1"/>
  <c r="U5" i="9"/>
  <c r="T10" i="9"/>
  <c r="V37" i="9"/>
  <c r="T38" i="9"/>
  <c r="V38" i="9" s="1"/>
  <c r="T21" i="9"/>
  <c r="U17" i="9"/>
  <c r="M13" i="8"/>
  <c r="S23" i="8"/>
  <c r="M30" i="8"/>
  <c r="I24" i="8"/>
  <c r="S35" i="8"/>
  <c r="L20" i="8"/>
  <c r="I35" i="8"/>
  <c r="S36" i="8"/>
  <c r="S20" i="8"/>
  <c r="U20" i="8" s="1"/>
  <c r="L12" i="8"/>
  <c r="T13" i="8"/>
  <c r="T24" i="8"/>
  <c r="S9" i="8"/>
  <c r="U23" i="8"/>
  <c r="AI12" i="10" s="1"/>
  <c r="I13" i="8"/>
  <c r="S13" i="8"/>
  <c r="S15" i="8" s="1"/>
  <c r="I14" i="8"/>
  <c r="S19" i="8"/>
  <c r="S26" i="7"/>
  <c r="L9" i="7"/>
  <c r="S9" i="7"/>
  <c r="S10" i="7" s="1"/>
  <c r="H11" i="7"/>
  <c r="T11" i="7" s="1"/>
  <c r="U11" i="7" s="1"/>
  <c r="H12" i="7"/>
  <c r="I12" i="7" s="1"/>
  <c r="I14" i="7"/>
  <c r="S20" i="7"/>
  <c r="S21" i="7" s="1"/>
  <c r="S32" i="7" s="1"/>
  <c r="L36" i="7"/>
  <c r="I9" i="7"/>
  <c r="T20" i="7"/>
  <c r="U20" i="7" s="1"/>
  <c r="L24" i="7"/>
  <c r="L30" i="7" s="1"/>
  <c r="T13" i="7"/>
  <c r="U13" i="7" s="1"/>
  <c r="U24" i="7"/>
  <c r="M24" i="7"/>
  <c r="I18" i="8"/>
  <c r="I20" i="8"/>
  <c r="M20" i="8"/>
  <c r="J8" i="8"/>
  <c r="I25" i="8"/>
  <c r="J5" i="7"/>
  <c r="H17" i="7"/>
  <c r="T17" i="7" s="1"/>
  <c r="U17" i="7" s="1"/>
  <c r="J8" i="7"/>
  <c r="J35" i="7"/>
  <c r="M35" i="8"/>
  <c r="M29" i="8"/>
  <c r="N29" i="8" s="1"/>
  <c r="J5" i="8"/>
  <c r="J17" i="8"/>
  <c r="M27" i="8"/>
  <c r="M17" i="7"/>
  <c r="N17" i="7" s="1"/>
  <c r="T9" i="8"/>
  <c r="J11" i="8"/>
  <c r="H12" i="8"/>
  <c r="T12" i="8" s="1"/>
  <c r="U12" i="8" s="1"/>
  <c r="J35" i="8"/>
  <c r="T35" i="8"/>
  <c r="I23" i="8"/>
  <c r="M23" i="8"/>
  <c r="N23" i="8" s="1"/>
  <c r="I17" i="8"/>
  <c r="M17" i="8"/>
  <c r="J19" i="8"/>
  <c r="I19" i="8"/>
  <c r="M24" i="8"/>
  <c r="L24" i="8"/>
  <c r="L30" i="8" s="1"/>
  <c r="I5" i="8"/>
  <c r="M5" i="8"/>
  <c r="I8" i="8"/>
  <c r="S8" i="8"/>
  <c r="M9" i="8"/>
  <c r="N9" i="8" s="1"/>
  <c r="I9" i="8"/>
  <c r="U11" i="8"/>
  <c r="L19" i="8"/>
  <c r="S24" i="8"/>
  <c r="J33" i="8"/>
  <c r="H33" i="8"/>
  <c r="T17" i="8"/>
  <c r="M36" i="8"/>
  <c r="N36" i="8" s="1"/>
  <c r="I36" i="8"/>
  <c r="T5" i="8"/>
  <c r="M8" i="8"/>
  <c r="T8" i="8"/>
  <c r="I11" i="8"/>
  <c r="M11" i="8"/>
  <c r="J22" i="8"/>
  <c r="H22" i="8"/>
  <c r="T36" i="8"/>
  <c r="L8" i="8"/>
  <c r="L10" i="8" s="1"/>
  <c r="L13" i="8"/>
  <c r="L35" i="8"/>
  <c r="L35" i="7"/>
  <c r="L37" i="7" s="1"/>
  <c r="L38" i="7" s="1"/>
  <c r="I36" i="7"/>
  <c r="S36" i="7"/>
  <c r="S37" i="7" s="1"/>
  <c r="S38" i="7" s="1"/>
  <c r="T35" i="7"/>
  <c r="U35" i="7" s="1"/>
  <c r="M36" i="7"/>
  <c r="N36" i="7" s="1"/>
  <c r="T36" i="7"/>
  <c r="T8" i="7"/>
  <c r="U8" i="7" s="1"/>
  <c r="L13" i="7"/>
  <c r="L15" i="7" s="1"/>
  <c r="I5" i="7"/>
  <c r="T9" i="7"/>
  <c r="L23" i="7"/>
  <c r="L26" i="7" s="1"/>
  <c r="M33" i="7"/>
  <c r="T33" i="7"/>
  <c r="I33" i="7"/>
  <c r="L8" i="7"/>
  <c r="S12" i="7"/>
  <c r="S15" i="7" s="1"/>
  <c r="N24" i="7"/>
  <c r="N27" i="7"/>
  <c r="M5" i="7"/>
  <c r="M8" i="7"/>
  <c r="I8" i="7"/>
  <c r="M9" i="7"/>
  <c r="I11" i="7"/>
  <c r="M13" i="7"/>
  <c r="I13" i="7"/>
  <c r="I17" i="7"/>
  <c r="H19" i="7"/>
  <c r="M19" i="7" s="1"/>
  <c r="N19" i="7" s="1"/>
  <c r="J19" i="7"/>
  <c r="L20" i="7"/>
  <c r="L21" i="7" s="1"/>
  <c r="M22" i="7"/>
  <c r="T22" i="7"/>
  <c r="N30" i="7"/>
  <c r="O30" i="7" s="1"/>
  <c r="T5" i="7"/>
  <c r="I18" i="7"/>
  <c r="M20" i="7"/>
  <c r="N20" i="7" s="1"/>
  <c r="I22" i="7"/>
  <c r="J23" i="7"/>
  <c r="H23" i="7"/>
  <c r="I29" i="7"/>
  <c r="M29" i="7"/>
  <c r="N29" i="7" s="1"/>
  <c r="J22" i="7"/>
  <c r="I27" i="7"/>
  <c r="J33" i="7"/>
  <c r="I35" i="7"/>
  <c r="G35" i="6"/>
  <c r="J35" i="6" s="1"/>
  <c r="G34" i="6"/>
  <c r="H34" i="6" s="1"/>
  <c r="I34" i="6" s="1"/>
  <c r="G33" i="6"/>
  <c r="H33" i="6" s="1"/>
  <c r="G29" i="6"/>
  <c r="H29" i="6" s="1"/>
  <c r="I29" i="6" s="1"/>
  <c r="G28" i="6"/>
  <c r="H28" i="6" s="1"/>
  <c r="M28" i="6" s="1"/>
  <c r="N28" i="6" s="1"/>
  <c r="G27" i="6"/>
  <c r="H27" i="6" s="1"/>
  <c r="G23" i="6"/>
  <c r="H23" i="6" s="1"/>
  <c r="G22" i="6"/>
  <c r="J22" i="6" s="1"/>
  <c r="G19" i="6"/>
  <c r="J19" i="6" s="1"/>
  <c r="G18" i="6"/>
  <c r="H18" i="6" s="1"/>
  <c r="I18" i="6" s="1"/>
  <c r="G17" i="6"/>
  <c r="G12" i="6"/>
  <c r="G11" i="6"/>
  <c r="G8" i="6"/>
  <c r="G7" i="6"/>
  <c r="H7" i="6" s="1"/>
  <c r="I7" i="6" s="1"/>
  <c r="H6" i="6"/>
  <c r="I6" i="6" s="1"/>
  <c r="G5" i="6"/>
  <c r="R36" i="6"/>
  <c r="Q36" i="6"/>
  <c r="K36" i="6"/>
  <c r="L36" i="6" s="1"/>
  <c r="J36" i="6"/>
  <c r="H36" i="6"/>
  <c r="F36" i="6"/>
  <c r="S35" i="6"/>
  <c r="R35" i="6"/>
  <c r="Q35" i="6"/>
  <c r="K35" i="6"/>
  <c r="L35" i="6" s="1"/>
  <c r="F35" i="6"/>
  <c r="F33" i="6"/>
  <c r="L33" i="6" s="1"/>
  <c r="K30" i="6"/>
  <c r="H30" i="6"/>
  <c r="M30" i="6" s="1"/>
  <c r="K29" i="6"/>
  <c r="J25" i="6"/>
  <c r="H25" i="6"/>
  <c r="F25" i="6"/>
  <c r="R24" i="6"/>
  <c r="Q24" i="6"/>
  <c r="K24" i="6"/>
  <c r="J24" i="6"/>
  <c r="H24" i="6"/>
  <c r="T24" i="6" s="1"/>
  <c r="F24" i="6"/>
  <c r="L24" i="6" s="1"/>
  <c r="L30" i="6" s="1"/>
  <c r="R23" i="6"/>
  <c r="Q23" i="6"/>
  <c r="K23" i="6"/>
  <c r="F23" i="6"/>
  <c r="S23" i="6" s="1"/>
  <c r="F22" i="6"/>
  <c r="L22" i="6" s="1"/>
  <c r="R20" i="6"/>
  <c r="Q20" i="6"/>
  <c r="K20" i="6"/>
  <c r="J20" i="6"/>
  <c r="H20" i="6"/>
  <c r="F20" i="6"/>
  <c r="L20" i="6" s="1"/>
  <c r="R19" i="6"/>
  <c r="Q19" i="6"/>
  <c r="K19" i="6"/>
  <c r="F19" i="6"/>
  <c r="L19" i="6" s="1"/>
  <c r="F17" i="6"/>
  <c r="L17" i="6" s="1"/>
  <c r="J14" i="6"/>
  <c r="H14" i="6"/>
  <c r="F14" i="6"/>
  <c r="R13" i="6"/>
  <c r="Q13" i="6"/>
  <c r="K13" i="6"/>
  <c r="J13" i="6"/>
  <c r="H13" i="6"/>
  <c r="T13" i="6" s="1"/>
  <c r="F13" i="6"/>
  <c r="R12" i="6"/>
  <c r="Q12" i="6"/>
  <c r="K12" i="6"/>
  <c r="F12" i="6"/>
  <c r="F11" i="6"/>
  <c r="L11" i="6" s="1"/>
  <c r="R9" i="6"/>
  <c r="Q9" i="6"/>
  <c r="K9" i="6"/>
  <c r="J9" i="6"/>
  <c r="H9" i="6"/>
  <c r="F9" i="6"/>
  <c r="S9" i="6" s="1"/>
  <c r="R8" i="6"/>
  <c r="Q8" i="6"/>
  <c r="K8" i="6"/>
  <c r="F8" i="6"/>
  <c r="F5" i="6"/>
  <c r="L5" i="6" s="1"/>
  <c r="M38" i="9" l="1"/>
  <c r="O38" i="9" s="1"/>
  <c r="O37" i="9"/>
  <c r="X23" i="8"/>
  <c r="AG12" i="10"/>
  <c r="T32" i="9"/>
  <c r="V32" i="9" s="1"/>
  <c r="AD17" i="10" s="1"/>
  <c r="V21" i="9"/>
  <c r="U42" i="9"/>
  <c r="U10" i="9"/>
  <c r="U16" i="9" s="1"/>
  <c r="Y16" i="9" s="1"/>
  <c r="O21" i="9"/>
  <c r="M32" i="9"/>
  <c r="O32" i="9" s="1"/>
  <c r="AB17" i="10" s="1"/>
  <c r="O10" i="9"/>
  <c r="M16" i="9"/>
  <c r="O16" i="9" s="1"/>
  <c r="N42" i="9"/>
  <c r="N45" i="9" s="1"/>
  <c r="N10" i="9"/>
  <c r="N16" i="9" s="1"/>
  <c r="X16" i="9" s="1"/>
  <c r="U21" i="9"/>
  <c r="U32" i="9" s="1"/>
  <c r="Y32" i="9" s="1"/>
  <c r="U43" i="9"/>
  <c r="T16" i="9"/>
  <c r="V16" i="9" s="1"/>
  <c r="V10" i="9"/>
  <c r="N43" i="9"/>
  <c r="N21" i="9"/>
  <c r="N32" i="9" s="1"/>
  <c r="X32" i="9" s="1"/>
  <c r="N30" i="8"/>
  <c r="O30" i="8" s="1"/>
  <c r="S26" i="8"/>
  <c r="U36" i="8"/>
  <c r="N20" i="8"/>
  <c r="L15" i="8"/>
  <c r="L16" i="8" s="1"/>
  <c r="L21" i="8"/>
  <c r="U35" i="8"/>
  <c r="U9" i="8"/>
  <c r="S37" i="8"/>
  <c r="S38" i="8" s="1"/>
  <c r="M31" i="8"/>
  <c r="S21" i="8"/>
  <c r="U13" i="8"/>
  <c r="U15" i="8" s="1"/>
  <c r="S10" i="8"/>
  <c r="S16" i="8" s="1"/>
  <c r="M12" i="7"/>
  <c r="N12" i="7" s="1"/>
  <c r="X12" i="7" s="1"/>
  <c r="T12" i="7"/>
  <c r="T15" i="7" s="1"/>
  <c r="V15" i="7" s="1"/>
  <c r="N8" i="8"/>
  <c r="X8" i="8" s="1"/>
  <c r="N27" i="8"/>
  <c r="N31" i="8" s="1"/>
  <c r="M12" i="8"/>
  <c r="N12" i="8" s="1"/>
  <c r="X12" i="8" s="1"/>
  <c r="S32" i="8"/>
  <c r="N24" i="8"/>
  <c r="N35" i="8"/>
  <c r="N50" i="8" s="1"/>
  <c r="I12" i="8"/>
  <c r="L26" i="8"/>
  <c r="M11" i="7"/>
  <c r="N11" i="7" s="1"/>
  <c r="S16" i="7"/>
  <c r="U12" i="7"/>
  <c r="U15" i="7" s="1"/>
  <c r="U9" i="7"/>
  <c r="L10" i="7"/>
  <c r="L16" i="7" s="1"/>
  <c r="U36" i="7"/>
  <c r="L32" i="7"/>
  <c r="N9" i="7"/>
  <c r="S19" i="6"/>
  <c r="M24" i="6"/>
  <c r="N24" i="6" s="1"/>
  <c r="I30" i="6"/>
  <c r="S12" i="6"/>
  <c r="S8" i="6"/>
  <c r="S10" i="6" s="1"/>
  <c r="L21" i="6"/>
  <c r="I13" i="6"/>
  <c r="I14" i="6"/>
  <c r="S20" i="6"/>
  <c r="S21" i="6" s="1"/>
  <c r="L23" i="6"/>
  <c r="L26" i="6" s="1"/>
  <c r="I24" i="6"/>
  <c r="S24" i="6"/>
  <c r="U24" i="6" s="1"/>
  <c r="I25" i="6"/>
  <c r="S36" i="6"/>
  <c r="S37" i="6" s="1"/>
  <c r="S38" i="6" s="1"/>
  <c r="L8" i="6"/>
  <c r="L12" i="6"/>
  <c r="M19" i="8"/>
  <c r="N19" i="8" s="1"/>
  <c r="X35" i="8"/>
  <c r="T22" i="8"/>
  <c r="M22" i="8"/>
  <c r="I22" i="8"/>
  <c r="T33" i="8"/>
  <c r="M33" i="8"/>
  <c r="I33" i="8"/>
  <c r="N5" i="8"/>
  <c r="M10" i="8"/>
  <c r="N17" i="8"/>
  <c r="N13" i="8"/>
  <c r="N11" i="8"/>
  <c r="T10" i="8"/>
  <c r="U5" i="8"/>
  <c r="U24" i="8"/>
  <c r="T19" i="8"/>
  <c r="U19" i="8" s="1"/>
  <c r="AI11" i="10" s="1"/>
  <c r="AI13" i="10" s="1"/>
  <c r="U8" i="8"/>
  <c r="U17" i="8"/>
  <c r="T15" i="8"/>
  <c r="V15" i="8" s="1"/>
  <c r="L37" i="8"/>
  <c r="L38" i="8" s="1"/>
  <c r="N35" i="7"/>
  <c r="N13" i="7"/>
  <c r="N22" i="7"/>
  <c r="N43" i="7" s="1"/>
  <c r="M10" i="7"/>
  <c r="N5" i="7"/>
  <c r="X19" i="7"/>
  <c r="T37" i="7"/>
  <c r="U33" i="7"/>
  <c r="M31" i="7"/>
  <c r="M37" i="7"/>
  <c r="N33" i="7"/>
  <c r="N21" i="7"/>
  <c r="T23" i="7"/>
  <c r="U23" i="7" s="1"/>
  <c r="I23" i="7"/>
  <c r="N31" i="7"/>
  <c r="M21" i="7"/>
  <c r="T10" i="7"/>
  <c r="U5" i="7"/>
  <c r="U22" i="7"/>
  <c r="T19" i="7"/>
  <c r="I19" i="7"/>
  <c r="N8" i="7"/>
  <c r="M23" i="7"/>
  <c r="N23" i="7" s="1"/>
  <c r="X23" i="7" s="1"/>
  <c r="T18" i="6"/>
  <c r="U18" i="6" s="1"/>
  <c r="AI16" i="10" s="1"/>
  <c r="H19" i="6"/>
  <c r="T19" i="6" s="1"/>
  <c r="M29" i="6"/>
  <c r="N29" i="6" s="1"/>
  <c r="T36" i="6"/>
  <c r="T9" i="6"/>
  <c r="U9" i="6" s="1"/>
  <c r="J23" i="6"/>
  <c r="J33" i="6"/>
  <c r="I36" i="6"/>
  <c r="I33" i="6"/>
  <c r="T33" i="6"/>
  <c r="U33" i="6" s="1"/>
  <c r="U44" i="6" s="1"/>
  <c r="T23" i="6"/>
  <c r="U23" i="6" s="1"/>
  <c r="H22" i="6"/>
  <c r="T22" i="6" s="1"/>
  <c r="U22" i="6" s="1"/>
  <c r="AC9" i="10" s="1"/>
  <c r="AI9" i="10" s="1"/>
  <c r="J8" i="6"/>
  <c r="H8" i="6"/>
  <c r="L9" i="6"/>
  <c r="M9" i="6"/>
  <c r="H12" i="6"/>
  <c r="T12" i="6" s="1"/>
  <c r="J12" i="6"/>
  <c r="L13" i="6"/>
  <c r="S13" i="6"/>
  <c r="U13" i="6" s="1"/>
  <c r="J17" i="6"/>
  <c r="H17" i="6"/>
  <c r="M20" i="6"/>
  <c r="N20" i="6" s="1"/>
  <c r="U14" i="10" s="1"/>
  <c r="I20" i="6"/>
  <c r="T20" i="6"/>
  <c r="M27" i="6"/>
  <c r="I27" i="6"/>
  <c r="J5" i="6"/>
  <c r="H5" i="6"/>
  <c r="I9" i="6"/>
  <c r="M13" i="6"/>
  <c r="L37" i="6"/>
  <c r="L38" i="6" s="1"/>
  <c r="J11" i="6"/>
  <c r="H11" i="6"/>
  <c r="M23" i="6"/>
  <c r="I23" i="6"/>
  <c r="N30" i="6"/>
  <c r="O30" i="6" s="1"/>
  <c r="M33" i="6"/>
  <c r="M36" i="6"/>
  <c r="N36" i="6" s="1"/>
  <c r="H35" i="6"/>
  <c r="O26" i="5"/>
  <c r="O30" i="5"/>
  <c r="N30" i="5"/>
  <c r="L30" i="5"/>
  <c r="T26" i="7" l="1"/>
  <c r="V26" i="7" s="1"/>
  <c r="X19" i="8"/>
  <c r="AG11" i="10"/>
  <c r="AG13" i="10" s="1"/>
  <c r="U45" i="9"/>
  <c r="L32" i="8"/>
  <c r="M15" i="8"/>
  <c r="O15" i="8" s="1"/>
  <c r="M15" i="7"/>
  <c r="O15" i="7" s="1"/>
  <c r="N49" i="8"/>
  <c r="N48" i="8"/>
  <c r="N15" i="8"/>
  <c r="N15" i="7"/>
  <c r="U12" i="6"/>
  <c r="U19" i="6"/>
  <c r="W13" i="10" s="1"/>
  <c r="L10" i="6"/>
  <c r="U20" i="6"/>
  <c r="W14" i="10" s="1"/>
  <c r="S26" i="6"/>
  <c r="N23" i="6"/>
  <c r="U36" i="6"/>
  <c r="M19" i="6"/>
  <c r="N19" i="6" s="1"/>
  <c r="S32" i="6"/>
  <c r="M22" i="6"/>
  <c r="M26" i="6" s="1"/>
  <c r="O26" i="6" s="1"/>
  <c r="I19" i="6"/>
  <c r="N9" i="6"/>
  <c r="S15" i="6"/>
  <c r="S16" i="6" s="1"/>
  <c r="L15" i="6"/>
  <c r="L32" i="6"/>
  <c r="M21" i="8"/>
  <c r="O21" i="8" s="1"/>
  <c r="T21" i="8"/>
  <c r="V21" i="8" s="1"/>
  <c r="U21" i="8"/>
  <c r="M16" i="8"/>
  <c r="O16" i="8" s="1"/>
  <c r="O10" i="8"/>
  <c r="N21" i="8"/>
  <c r="T26" i="8"/>
  <c r="V26" i="8" s="1"/>
  <c r="U22" i="8"/>
  <c r="U26" i="8" s="1"/>
  <c r="U42" i="8"/>
  <c r="U10" i="8"/>
  <c r="U16" i="8" s="1"/>
  <c r="Y16" i="8" s="1"/>
  <c r="N42" i="8"/>
  <c r="N10" i="8"/>
  <c r="M37" i="8"/>
  <c r="N33" i="8"/>
  <c r="T16" i="8"/>
  <c r="V16" i="8" s="1"/>
  <c r="V10" i="8"/>
  <c r="T37" i="8"/>
  <c r="U33" i="8"/>
  <c r="M26" i="8"/>
  <c r="O26" i="8" s="1"/>
  <c r="N22" i="8"/>
  <c r="N26" i="8" s="1"/>
  <c r="X35" i="7"/>
  <c r="N50" i="7"/>
  <c r="U44" i="7"/>
  <c r="U37" i="7"/>
  <c r="U38" i="7" s="1"/>
  <c r="Y38" i="7" s="1"/>
  <c r="T38" i="7"/>
  <c r="V38" i="7" s="1"/>
  <c r="V37" i="7"/>
  <c r="O10" i="7"/>
  <c r="U19" i="7"/>
  <c r="U21" i="7" s="1"/>
  <c r="T21" i="7"/>
  <c r="T16" i="7"/>
  <c r="V16" i="7" s="1"/>
  <c r="V10" i="7"/>
  <c r="N42" i="7"/>
  <c r="N10" i="7"/>
  <c r="N48" i="7"/>
  <c r="X8" i="7"/>
  <c r="U26" i="7"/>
  <c r="O21" i="7"/>
  <c r="N44" i="7"/>
  <c r="N37" i="7"/>
  <c r="N38" i="7" s="1"/>
  <c r="X38" i="7" s="1"/>
  <c r="U43" i="7"/>
  <c r="N49" i="7"/>
  <c r="N26" i="7"/>
  <c r="N32" i="7" s="1"/>
  <c r="X32" i="7" s="1"/>
  <c r="U42" i="7"/>
  <c r="U10" i="7"/>
  <c r="U16" i="7" s="1"/>
  <c r="Y16" i="7" s="1"/>
  <c r="M38" i="7"/>
  <c r="O38" i="7" s="1"/>
  <c r="O37" i="7"/>
  <c r="M26" i="7"/>
  <c r="O26" i="7" s="1"/>
  <c r="U26" i="6"/>
  <c r="T26" i="6"/>
  <c r="I22" i="6"/>
  <c r="T17" i="6"/>
  <c r="M17" i="6"/>
  <c r="I17" i="6"/>
  <c r="N33" i="6"/>
  <c r="T5" i="6"/>
  <c r="M5" i="6"/>
  <c r="I5" i="6"/>
  <c r="I12" i="6"/>
  <c r="M12" i="6"/>
  <c r="N12" i="6" s="1"/>
  <c r="X12" i="6" s="1"/>
  <c r="T35" i="6"/>
  <c r="M35" i="6"/>
  <c r="N35" i="6" s="1"/>
  <c r="I35" i="6"/>
  <c r="N13" i="6"/>
  <c r="M31" i="6"/>
  <c r="N27" i="6"/>
  <c r="N31" i="6" s="1"/>
  <c r="T11" i="6"/>
  <c r="M11" i="6"/>
  <c r="I11" i="6"/>
  <c r="T8" i="6"/>
  <c r="U8" i="6" s="1"/>
  <c r="M8" i="6"/>
  <c r="N8" i="6" s="1"/>
  <c r="I8" i="6"/>
  <c r="F13" i="5"/>
  <c r="H13" i="5"/>
  <c r="K30" i="5"/>
  <c r="M30" i="5" s="1"/>
  <c r="H30" i="5"/>
  <c r="I30" i="5" s="1"/>
  <c r="H24" i="5"/>
  <c r="F24" i="5"/>
  <c r="X23" i="6" l="1"/>
  <c r="U13" i="10"/>
  <c r="N51" i="8"/>
  <c r="M16" i="7"/>
  <c r="O16" i="7" s="1"/>
  <c r="N16" i="7"/>
  <c r="X16" i="7" s="1"/>
  <c r="N16" i="8"/>
  <c r="X16" i="8" s="1"/>
  <c r="L16" i="6"/>
  <c r="N22" i="6"/>
  <c r="V26" i="6"/>
  <c r="N49" i="6"/>
  <c r="X19" i="6"/>
  <c r="U45" i="7"/>
  <c r="U32" i="8"/>
  <c r="Y32" i="8" s="1"/>
  <c r="N32" i="8"/>
  <c r="X32" i="8" s="1"/>
  <c r="M32" i="8"/>
  <c r="O32" i="8" s="1"/>
  <c r="AH17" i="10" s="1"/>
  <c r="O37" i="8"/>
  <c r="M38" i="8"/>
  <c r="O38" i="8" s="1"/>
  <c r="U44" i="8"/>
  <c r="U37" i="8"/>
  <c r="U38" i="8" s="1"/>
  <c r="Y38" i="8" s="1"/>
  <c r="V37" i="8"/>
  <c r="T38" i="8"/>
  <c r="V38" i="8" s="1"/>
  <c r="T32" i="8"/>
  <c r="V32" i="8" s="1"/>
  <c r="AJ17" i="10" s="1"/>
  <c r="N44" i="8"/>
  <c r="N37" i="8"/>
  <c r="N38" i="8" s="1"/>
  <c r="X38" i="8" s="1"/>
  <c r="N43" i="8"/>
  <c r="U43" i="8"/>
  <c r="U45" i="8" s="1"/>
  <c r="N45" i="7"/>
  <c r="N51" i="7"/>
  <c r="U32" i="7"/>
  <c r="Y32" i="7" s="1"/>
  <c r="M32" i="7"/>
  <c r="O32" i="7" s="1"/>
  <c r="T32" i="7"/>
  <c r="V32" i="7" s="1"/>
  <c r="V21" i="7"/>
  <c r="M15" i="6"/>
  <c r="O15" i="6" s="1"/>
  <c r="N11" i="6"/>
  <c r="N15" i="6" s="1"/>
  <c r="U5" i="6"/>
  <c r="T10" i="6"/>
  <c r="N50" i="6"/>
  <c r="X35" i="6"/>
  <c r="M37" i="6"/>
  <c r="T21" i="6"/>
  <c r="U17" i="6"/>
  <c r="U35" i="6"/>
  <c r="U37" i="6" s="1"/>
  <c r="U38" i="6" s="1"/>
  <c r="Y38" i="6" s="1"/>
  <c r="T37" i="6"/>
  <c r="N5" i="6"/>
  <c r="M10" i="6"/>
  <c r="N44" i="6"/>
  <c r="N37" i="6"/>
  <c r="N38" i="6" s="1"/>
  <c r="X38" i="6" s="1"/>
  <c r="N48" i="6"/>
  <c r="X8" i="6"/>
  <c r="U11" i="6"/>
  <c r="U15" i="6" s="1"/>
  <c r="T15" i="6"/>
  <c r="V15" i="6" s="1"/>
  <c r="M21" i="6"/>
  <c r="N17" i="6"/>
  <c r="G28" i="5"/>
  <c r="H28" i="5" s="1"/>
  <c r="M28" i="5" s="1"/>
  <c r="N28" i="5" s="1"/>
  <c r="K29" i="5"/>
  <c r="AA8" i="10" l="1"/>
  <c r="AC8" i="10"/>
  <c r="W10" i="10"/>
  <c r="N26" i="6"/>
  <c r="AA9" i="10"/>
  <c r="AG9" i="10" s="1"/>
  <c r="N45" i="8"/>
  <c r="N43" i="6"/>
  <c r="N21" i="6"/>
  <c r="N32" i="6" s="1"/>
  <c r="X32" i="6" s="1"/>
  <c r="M16" i="6"/>
  <c r="O16" i="6" s="1"/>
  <c r="O10" i="6"/>
  <c r="U43" i="6"/>
  <c r="U21" i="6"/>
  <c r="U32" i="6" s="1"/>
  <c r="Y32" i="6" s="1"/>
  <c r="M32" i="6"/>
  <c r="O32" i="6" s="1"/>
  <c r="O21" i="6"/>
  <c r="N51" i="6"/>
  <c r="N42" i="6"/>
  <c r="N10" i="6"/>
  <c r="N16" i="6" s="1"/>
  <c r="X16" i="6" s="1"/>
  <c r="T32" i="6"/>
  <c r="V32" i="6" s="1"/>
  <c r="V21" i="6"/>
  <c r="V10" i="6"/>
  <c r="T16" i="6"/>
  <c r="V16" i="6" s="1"/>
  <c r="V37" i="6"/>
  <c r="T38" i="6"/>
  <c r="V38" i="6" s="1"/>
  <c r="O37" i="6"/>
  <c r="M38" i="6"/>
  <c r="O38" i="6" s="1"/>
  <c r="U42" i="6"/>
  <c r="U10" i="6"/>
  <c r="U16" i="6" s="1"/>
  <c r="Y16" i="6" s="1"/>
  <c r="G34" i="5"/>
  <c r="G18" i="5"/>
  <c r="AI8" i="10" l="1"/>
  <c r="AI10" i="10" s="1"/>
  <c r="AI17" i="10" s="1"/>
  <c r="AC10" i="10"/>
  <c r="AC17" i="10" s="1"/>
  <c r="U10" i="10"/>
  <c r="AG8" i="10"/>
  <c r="AG10" i="10" s="1"/>
  <c r="AG17" i="10" s="1"/>
  <c r="AA10" i="10"/>
  <c r="AA17" i="10" s="1"/>
  <c r="U45" i="6"/>
  <c r="N45" i="6"/>
  <c r="G6" i="5"/>
  <c r="H6" i="5" s="1"/>
  <c r="I6" i="5" s="1"/>
  <c r="G12" i="5" l="1"/>
  <c r="G35" i="5"/>
  <c r="G19" i="5"/>
  <c r="G8" i="5"/>
  <c r="T28" i="4" l="1"/>
  <c r="S28" i="4"/>
  <c r="T27" i="4"/>
  <c r="S27" i="4"/>
  <c r="T22" i="4"/>
  <c r="S22" i="4"/>
  <c r="T21" i="4"/>
  <c r="S21" i="4"/>
  <c r="T18" i="4"/>
  <c r="S18" i="4"/>
  <c r="T17" i="4"/>
  <c r="S17" i="4"/>
  <c r="T12" i="4"/>
  <c r="S12" i="4"/>
  <c r="T11" i="4"/>
  <c r="S11" i="4"/>
  <c r="T8" i="4"/>
  <c r="S8" i="4"/>
  <c r="T7" i="4"/>
  <c r="S7" i="4"/>
  <c r="K28" i="4"/>
  <c r="K27" i="4"/>
  <c r="K22" i="4"/>
  <c r="K21" i="4"/>
  <c r="K18" i="4"/>
  <c r="K17" i="4"/>
  <c r="K12" i="4"/>
  <c r="K11" i="4"/>
  <c r="K8" i="4"/>
  <c r="K7" i="4"/>
  <c r="K35" i="5"/>
  <c r="K23" i="5"/>
  <c r="K19" i="5"/>
  <c r="K12" i="5"/>
  <c r="K8" i="5"/>
  <c r="F36" i="5" l="1"/>
  <c r="F35" i="5"/>
  <c r="F33" i="5"/>
  <c r="F25" i="5"/>
  <c r="F23" i="5"/>
  <c r="F22" i="5"/>
  <c r="F20" i="5"/>
  <c r="F19" i="5"/>
  <c r="F17" i="5"/>
  <c r="F14" i="5"/>
  <c r="F12" i="5"/>
  <c r="F11" i="5"/>
  <c r="F9" i="5"/>
  <c r="F8" i="5"/>
  <c r="F5" i="5"/>
  <c r="H36" i="5"/>
  <c r="H25" i="5"/>
  <c r="H20" i="5"/>
  <c r="H14" i="5"/>
  <c r="H9" i="5"/>
  <c r="R36" i="5" l="1"/>
  <c r="R35" i="5"/>
  <c r="R24" i="5"/>
  <c r="R23" i="5"/>
  <c r="R20" i="5"/>
  <c r="R19" i="5"/>
  <c r="R13" i="5"/>
  <c r="R12" i="5"/>
  <c r="R9" i="5"/>
  <c r="R8" i="5"/>
  <c r="Q36" i="5"/>
  <c r="Q35" i="5"/>
  <c r="Q24" i="5"/>
  <c r="Q23" i="5"/>
  <c r="Q20" i="5"/>
  <c r="Q19" i="5"/>
  <c r="Q13" i="5"/>
  <c r="Q12" i="5"/>
  <c r="Q9" i="5"/>
  <c r="Q8" i="5"/>
  <c r="K36" i="5"/>
  <c r="K24" i="5"/>
  <c r="M24" i="5" s="1"/>
  <c r="K20" i="5"/>
  <c r="K13" i="5"/>
  <c r="K9" i="5"/>
  <c r="J36" i="5"/>
  <c r="L33" i="5"/>
  <c r="J25" i="5"/>
  <c r="I25" i="5"/>
  <c r="J24" i="5"/>
  <c r="L22" i="5"/>
  <c r="J20" i="5"/>
  <c r="J14" i="5"/>
  <c r="I14" i="5"/>
  <c r="J13" i="5"/>
  <c r="L11" i="5"/>
  <c r="J9" i="5"/>
  <c r="L5" i="5"/>
  <c r="J8" i="5" l="1"/>
  <c r="H8" i="5"/>
  <c r="I8" i="5" s="1"/>
  <c r="J12" i="5"/>
  <c r="H12" i="5"/>
  <c r="M12" i="5" s="1"/>
  <c r="J19" i="5"/>
  <c r="H19" i="5"/>
  <c r="I19" i="5" s="1"/>
  <c r="T24" i="5"/>
  <c r="S23" i="5"/>
  <c r="S36" i="5"/>
  <c r="I36" i="5"/>
  <c r="L13" i="5"/>
  <c r="I24" i="5"/>
  <c r="T36" i="5"/>
  <c r="L35" i="5"/>
  <c r="S12" i="5"/>
  <c r="I13" i="5"/>
  <c r="I20" i="5"/>
  <c r="L36" i="5"/>
  <c r="S24" i="5"/>
  <c r="S35" i="5"/>
  <c r="L24" i="5"/>
  <c r="S9" i="5"/>
  <c r="L23" i="5"/>
  <c r="S20" i="5"/>
  <c r="S19" i="5"/>
  <c r="L20" i="5"/>
  <c r="M36" i="5"/>
  <c r="L8" i="5"/>
  <c r="M13" i="5"/>
  <c r="S8" i="5"/>
  <c r="I9" i="5"/>
  <c r="S13" i="5"/>
  <c r="L9" i="5"/>
  <c r="L12" i="5"/>
  <c r="T13" i="5"/>
  <c r="L19" i="5"/>
  <c r="M20" i="5"/>
  <c r="T20" i="5"/>
  <c r="M9" i="5"/>
  <c r="L17" i="5"/>
  <c r="T9" i="5"/>
  <c r="J23" i="4"/>
  <c r="J13" i="4"/>
  <c r="H23" i="4"/>
  <c r="I23" i="4" s="1"/>
  <c r="S26" i="5" l="1"/>
  <c r="S10" i="5"/>
  <c r="U24" i="5"/>
  <c r="S37" i="5"/>
  <c r="S38" i="5" s="1"/>
  <c r="U36" i="5"/>
  <c r="N24" i="5"/>
  <c r="L37" i="5"/>
  <c r="L38" i="5" s="1"/>
  <c r="N36" i="5"/>
  <c r="N13" i="5"/>
  <c r="L26" i="5"/>
  <c r="S21" i="5"/>
  <c r="U13" i="5"/>
  <c r="L10" i="5"/>
  <c r="T19" i="5"/>
  <c r="I12" i="5"/>
  <c r="T12" i="5"/>
  <c r="M19" i="5"/>
  <c r="M8" i="5"/>
  <c r="T8" i="5"/>
  <c r="S15" i="5"/>
  <c r="L15" i="5"/>
  <c r="N9" i="5"/>
  <c r="N20" i="5"/>
  <c r="L21" i="5"/>
  <c r="U20" i="5"/>
  <c r="N12" i="5"/>
  <c r="X12" i="5" s="1"/>
  <c r="U9" i="5"/>
  <c r="H13" i="4"/>
  <c r="I13" i="4" s="1"/>
  <c r="S32" i="5" l="1"/>
  <c r="S16" i="5"/>
  <c r="L32" i="5"/>
  <c r="L16" i="5"/>
  <c r="U12" i="5"/>
  <c r="N19" i="5"/>
  <c r="U19" i="5"/>
  <c r="N8" i="5"/>
  <c r="U8" i="5"/>
  <c r="F28" i="4"/>
  <c r="F27" i="4"/>
  <c r="F26" i="4"/>
  <c r="F22" i="4"/>
  <c r="F21" i="4"/>
  <c r="F20" i="4"/>
  <c r="F18" i="4"/>
  <c r="F17" i="4"/>
  <c r="F16" i="4"/>
  <c r="F12" i="4"/>
  <c r="F11" i="4"/>
  <c r="F10" i="4"/>
  <c r="F8" i="4"/>
  <c r="F7" i="4"/>
  <c r="F6" i="4"/>
  <c r="H28" i="4"/>
  <c r="H27" i="4"/>
  <c r="H26" i="4"/>
  <c r="H22" i="4"/>
  <c r="H21" i="4"/>
  <c r="H20" i="4"/>
  <c r="H18" i="4"/>
  <c r="H17" i="4"/>
  <c r="H16" i="4"/>
  <c r="H12" i="4"/>
  <c r="H11" i="4"/>
  <c r="H8" i="4"/>
  <c r="H7" i="4"/>
  <c r="H6" i="4"/>
  <c r="H10" i="4"/>
  <c r="X19" i="5" l="1"/>
  <c r="N48" i="5"/>
  <c r="X8" i="5"/>
  <c r="X28" i="4" l="1"/>
  <c r="X26" i="4"/>
  <c r="Y26" i="4" s="1"/>
  <c r="X20" i="4"/>
  <c r="AB20" i="4" s="1"/>
  <c r="X17" i="4"/>
  <c r="X16" i="4"/>
  <c r="X10" i="4"/>
  <c r="AB10" i="4" s="1"/>
  <c r="X6" i="4"/>
  <c r="V28" i="4"/>
  <c r="V27" i="4"/>
  <c r="V22" i="4"/>
  <c r="V21" i="4"/>
  <c r="V18" i="4"/>
  <c r="V17" i="4"/>
  <c r="V12" i="4"/>
  <c r="V11" i="4"/>
  <c r="V8" i="4"/>
  <c r="W8" i="4" s="1"/>
  <c r="V7" i="4"/>
  <c r="X27" i="4"/>
  <c r="U26" i="4"/>
  <c r="X22" i="4"/>
  <c r="X21" i="4"/>
  <c r="U20" i="4"/>
  <c r="U18" i="4"/>
  <c r="U17" i="4"/>
  <c r="U16" i="4"/>
  <c r="U12" i="4"/>
  <c r="X11" i="4"/>
  <c r="U10" i="4"/>
  <c r="U8" i="4"/>
  <c r="U7" i="4"/>
  <c r="W6" i="4"/>
  <c r="U6" i="4"/>
  <c r="J28" i="4"/>
  <c r="J27" i="4"/>
  <c r="J26" i="4"/>
  <c r="M26" i="4"/>
  <c r="L26" i="4"/>
  <c r="J22" i="4"/>
  <c r="J21" i="4"/>
  <c r="J20" i="4"/>
  <c r="L20" i="4"/>
  <c r="J18" i="4"/>
  <c r="J17" i="4"/>
  <c r="J16" i="4"/>
  <c r="L16" i="4"/>
  <c r="J12" i="4"/>
  <c r="J11" i="4"/>
  <c r="J10" i="4"/>
  <c r="M10" i="4"/>
  <c r="L10" i="4"/>
  <c r="J8" i="4"/>
  <c r="J7" i="4"/>
  <c r="J6" i="4"/>
  <c r="M6" i="4"/>
  <c r="L6" i="4"/>
  <c r="U11" i="4" l="1"/>
  <c r="W21" i="4"/>
  <c r="X7" i="4"/>
  <c r="X12" i="4"/>
  <c r="Y12" i="4" s="1"/>
  <c r="X8" i="4"/>
  <c r="Y8" i="4" s="1"/>
  <c r="AA8" i="4" s="1"/>
  <c r="X18" i="4"/>
  <c r="X19" i="4" s="1"/>
  <c r="Y20" i="4"/>
  <c r="V19" i="4"/>
  <c r="V14" i="4"/>
  <c r="V24" i="4"/>
  <c r="Z20" i="4"/>
  <c r="I9" i="10" s="1"/>
  <c r="AB26" i="4"/>
  <c r="X29" i="4"/>
  <c r="X30" i="4" s="1"/>
  <c r="X24" i="4"/>
  <c r="X9" i="4"/>
  <c r="Z6" i="4"/>
  <c r="V29" i="4"/>
  <c r="V30" i="4" s="1"/>
  <c r="W11" i="4"/>
  <c r="V9" i="4"/>
  <c r="W7" i="4"/>
  <c r="W9" i="4" s="1"/>
  <c r="W17" i="4"/>
  <c r="W22" i="4"/>
  <c r="W27" i="4"/>
  <c r="W28" i="4"/>
  <c r="AB11" i="4"/>
  <c r="Y11" i="4"/>
  <c r="Z11" i="4"/>
  <c r="AB17" i="4"/>
  <c r="Z17" i="4"/>
  <c r="I11" i="10" s="1"/>
  <c r="Y17" i="4"/>
  <c r="Z10" i="4"/>
  <c r="AB6" i="4"/>
  <c r="W10" i="4"/>
  <c r="U21" i="4"/>
  <c r="Z26" i="4"/>
  <c r="U27" i="4"/>
  <c r="Y6" i="4"/>
  <c r="W12" i="4"/>
  <c r="AB16" i="4"/>
  <c r="W18" i="4"/>
  <c r="W20" i="4"/>
  <c r="U22" i="4"/>
  <c r="W26" i="4"/>
  <c r="U28" i="4"/>
  <c r="Z16" i="4"/>
  <c r="I8" i="10" s="1"/>
  <c r="I10" i="10" s="1"/>
  <c r="W16" i="4"/>
  <c r="Y10" i="4"/>
  <c r="Y16" i="4"/>
  <c r="L27" i="4"/>
  <c r="L28" i="4"/>
  <c r="I12" i="4"/>
  <c r="L21" i="4"/>
  <c r="M22" i="4"/>
  <c r="N22" i="4" s="1"/>
  <c r="I16" i="4"/>
  <c r="L11" i="4"/>
  <c r="I18" i="4"/>
  <c r="I21" i="4"/>
  <c r="I27" i="4"/>
  <c r="I28" i="4"/>
  <c r="I6" i="4"/>
  <c r="I8" i="4"/>
  <c r="I10" i="4"/>
  <c r="I11" i="4"/>
  <c r="L12" i="4"/>
  <c r="I22" i="4"/>
  <c r="L22" i="4"/>
  <c r="M28" i="4"/>
  <c r="N28" i="4" s="1"/>
  <c r="I17" i="4"/>
  <c r="L18" i="4"/>
  <c r="L8" i="4"/>
  <c r="L17" i="4"/>
  <c r="I20" i="4"/>
  <c r="Q10" i="4"/>
  <c r="O10" i="4"/>
  <c r="N10" i="4"/>
  <c r="L7" i="4"/>
  <c r="M16" i="4"/>
  <c r="O6" i="4"/>
  <c r="Q6" i="4"/>
  <c r="N6" i="4"/>
  <c r="M7" i="4"/>
  <c r="I7" i="4"/>
  <c r="N26" i="4"/>
  <c r="O26" i="4"/>
  <c r="Q26" i="4"/>
  <c r="M20" i="4"/>
  <c r="M8" i="4"/>
  <c r="M11" i="4"/>
  <c r="M17" i="4"/>
  <c r="M12" i="4"/>
  <c r="M18" i="4"/>
  <c r="M21" i="4"/>
  <c r="I26" i="4"/>
  <c r="M27" i="4"/>
  <c r="F20" i="1"/>
  <c r="F19" i="1"/>
  <c r="F18" i="1"/>
  <c r="F16" i="1"/>
  <c r="F15" i="1"/>
  <c r="F14" i="1"/>
  <c r="F13" i="1"/>
  <c r="F12" i="1"/>
  <c r="F10" i="1"/>
  <c r="F9" i="1"/>
  <c r="F8" i="1"/>
  <c r="F7" i="1"/>
  <c r="F6" i="1"/>
  <c r="Z12" i="4" l="1"/>
  <c r="Z14" i="4" s="1"/>
  <c r="X14" i="4"/>
  <c r="X15" i="4" s="1"/>
  <c r="AB12" i="4"/>
  <c r="Z8" i="4"/>
  <c r="AB8" i="4"/>
  <c r="AA17" i="4"/>
  <c r="W24" i="4"/>
  <c r="V25" i="4"/>
  <c r="M29" i="4"/>
  <c r="M30" i="4" s="1"/>
  <c r="X25" i="4"/>
  <c r="M24" i="4"/>
  <c r="M19" i="4"/>
  <c r="Y14" i="4"/>
  <c r="AB9" i="4"/>
  <c r="AA11" i="4"/>
  <c r="W14" i="4"/>
  <c r="W15" i="4" s="1"/>
  <c r="V15" i="4"/>
  <c r="L19" i="4"/>
  <c r="P28" i="4"/>
  <c r="W29" i="4"/>
  <c r="W30" i="4" s="1"/>
  <c r="L29" i="4"/>
  <c r="W19" i="4"/>
  <c r="L24" i="4"/>
  <c r="M14" i="4"/>
  <c r="M9" i="4"/>
  <c r="AA26" i="4"/>
  <c r="AA20" i="4"/>
  <c r="Z28" i="4"/>
  <c r="Y28" i="4"/>
  <c r="AA28" i="4" s="1"/>
  <c r="AB28" i="4"/>
  <c r="Y7" i="4"/>
  <c r="AA7" i="4" s="1"/>
  <c r="AB7" i="4"/>
  <c r="Z7" i="4"/>
  <c r="AB27" i="4"/>
  <c r="Z27" i="4"/>
  <c r="Y27" i="4"/>
  <c r="AA16" i="4"/>
  <c r="AA6" i="4"/>
  <c r="AA12" i="4"/>
  <c r="AB24" i="4"/>
  <c r="AB21" i="4"/>
  <c r="Z21" i="4"/>
  <c r="I12" i="10" s="1"/>
  <c r="I13" i="10" s="1"/>
  <c r="I17" i="10" s="1"/>
  <c r="Y21" i="4"/>
  <c r="Z22" i="4"/>
  <c r="Y22" i="4"/>
  <c r="AA22" i="4" s="1"/>
  <c r="AB22" i="4"/>
  <c r="AA10" i="4"/>
  <c r="AB18" i="4"/>
  <c r="Z18" i="4"/>
  <c r="Z19" i="4" s="1"/>
  <c r="Y18" i="4"/>
  <c r="AA18" i="4" s="1"/>
  <c r="L9" i="4"/>
  <c r="L14" i="4"/>
  <c r="Q28" i="4"/>
  <c r="O22" i="4"/>
  <c r="O28" i="4"/>
  <c r="Q22" i="4"/>
  <c r="P22" i="4"/>
  <c r="O27" i="4"/>
  <c r="Q27" i="4"/>
  <c r="N27" i="4"/>
  <c r="Q20" i="4"/>
  <c r="O20" i="4"/>
  <c r="G9" i="10" s="1"/>
  <c r="N20" i="4"/>
  <c r="O17" i="4"/>
  <c r="G11" i="10" s="1"/>
  <c r="N17" i="4"/>
  <c r="Q17" i="4"/>
  <c r="O11" i="4"/>
  <c r="N11" i="4"/>
  <c r="P11" i="4" s="1"/>
  <c r="Q11" i="4"/>
  <c r="P10" i="4"/>
  <c r="P26" i="4"/>
  <c r="P6" i="4"/>
  <c r="N18" i="4"/>
  <c r="P18" i="4" s="1"/>
  <c r="Q18" i="4"/>
  <c r="O18" i="4"/>
  <c r="N21" i="4"/>
  <c r="P21" i="4" s="1"/>
  <c r="Q21" i="4"/>
  <c r="O21" i="4"/>
  <c r="G12" i="10" s="1"/>
  <c r="N12" i="4"/>
  <c r="P12" i="4" s="1"/>
  <c r="Q12" i="4"/>
  <c r="O12" i="4"/>
  <c r="O8" i="4"/>
  <c r="N8" i="4"/>
  <c r="P8" i="4" s="1"/>
  <c r="Q8" i="4"/>
  <c r="O7" i="4"/>
  <c r="N7" i="4"/>
  <c r="Q7" i="4"/>
  <c r="Q16" i="4"/>
  <c r="N16" i="4"/>
  <c r="O16" i="4"/>
  <c r="G8" i="10" s="1"/>
  <c r="G10" i="10" s="1"/>
  <c r="L20" i="1"/>
  <c r="M20" i="1" s="1"/>
  <c r="L19" i="1"/>
  <c r="M19" i="1" s="1"/>
  <c r="L17" i="1"/>
  <c r="M17" i="1" s="1"/>
  <c r="L16" i="1"/>
  <c r="L14" i="1"/>
  <c r="L13" i="1"/>
  <c r="M13" i="1" s="1"/>
  <c r="L11" i="1"/>
  <c r="M11" i="1" s="1"/>
  <c r="L10" i="1"/>
  <c r="L8" i="1"/>
  <c r="L7" i="1"/>
  <c r="M7" i="1" s="1"/>
  <c r="M18" i="1"/>
  <c r="M15" i="1"/>
  <c r="M12" i="1"/>
  <c r="M9" i="1"/>
  <c r="M6" i="1"/>
  <c r="M16" i="1"/>
  <c r="M14" i="1"/>
  <c r="M10" i="1"/>
  <c r="M8" i="1"/>
  <c r="G13" i="10" l="1"/>
  <c r="G17" i="10" s="1"/>
  <c r="Z9" i="4"/>
  <c r="Z15" i="4" s="1"/>
  <c r="AB25" i="4"/>
  <c r="J17" i="10" s="1"/>
  <c r="W25" i="4"/>
  <c r="N24" i="4"/>
  <c r="P27" i="4"/>
  <c r="P29" i="4" s="1"/>
  <c r="P30" i="4" s="1"/>
  <c r="O29" i="4"/>
  <c r="O30" i="4" s="1"/>
  <c r="Z24" i="4"/>
  <c r="Z25" i="4" s="1"/>
  <c r="Y24" i="4"/>
  <c r="Y19" i="4"/>
  <c r="Y29" i="4"/>
  <c r="Y30" i="4" s="1"/>
  <c r="N29" i="4"/>
  <c r="N30" i="4" s="1"/>
  <c r="Q24" i="4"/>
  <c r="M25" i="4"/>
  <c r="N19" i="4"/>
  <c r="Z29" i="4"/>
  <c r="Z30" i="4" s="1"/>
  <c r="O24" i="4"/>
  <c r="P17" i="4"/>
  <c r="AA19" i="4"/>
  <c r="L30" i="4"/>
  <c r="Q30" i="4" s="1"/>
  <c r="Q29" i="4"/>
  <c r="O19" i="4"/>
  <c r="L25" i="4"/>
  <c r="Q19" i="4"/>
  <c r="Q14" i="4"/>
  <c r="M15" i="4"/>
  <c r="O14" i="4"/>
  <c r="Q9" i="4"/>
  <c r="AA21" i="4"/>
  <c r="AA24" i="4" s="1"/>
  <c r="AA9" i="4"/>
  <c r="AB19" i="4"/>
  <c r="AA27" i="4"/>
  <c r="AA14" i="4"/>
  <c r="AB14" i="4"/>
  <c r="AB15" i="4"/>
  <c r="Y9" i="4"/>
  <c r="Y15" i="4" s="1"/>
  <c r="AB30" i="4"/>
  <c r="AB29" i="4"/>
  <c r="O9" i="4"/>
  <c r="P7" i="4"/>
  <c r="P9" i="4" s="1"/>
  <c r="N9" i="4"/>
  <c r="P14" i="4"/>
  <c r="L15" i="4"/>
  <c r="N14" i="4"/>
  <c r="P20" i="4"/>
  <c r="P24" i="4" s="1"/>
  <c r="P16" i="4"/>
  <c r="F6" i="2"/>
  <c r="E6" i="2"/>
  <c r="H4" i="2"/>
  <c r="G4" i="2"/>
  <c r="F4" i="2"/>
  <c r="E4" i="2"/>
  <c r="N25" i="4" l="1"/>
  <c r="Y25" i="4"/>
  <c r="Q25" i="4"/>
  <c r="H17" i="10" s="1"/>
  <c r="P19" i="4"/>
  <c r="P25" i="4" s="1"/>
  <c r="AA29" i="4"/>
  <c r="AA30" i="4" s="1"/>
  <c r="O25" i="4"/>
  <c r="AA25" i="4"/>
  <c r="O15" i="4"/>
  <c r="Q15" i="4"/>
  <c r="AA15" i="4"/>
  <c r="N15" i="4"/>
  <c r="P15" i="4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17" i="1"/>
  <c r="S17" i="1" s="1"/>
  <c r="H11" i="1"/>
  <c r="S11" i="1" s="1"/>
  <c r="H20" i="1"/>
  <c r="S20" i="1" s="1"/>
  <c r="H19" i="1"/>
  <c r="S19" i="1" s="1"/>
  <c r="H18" i="1"/>
  <c r="H16" i="1"/>
  <c r="S16" i="1" s="1"/>
  <c r="H15" i="1"/>
  <c r="H14" i="1"/>
  <c r="S14" i="1" s="1"/>
  <c r="H13" i="1"/>
  <c r="S13" i="1" s="1"/>
  <c r="H12" i="1"/>
  <c r="H10" i="1"/>
  <c r="S10" i="1" s="1"/>
  <c r="H9" i="1"/>
  <c r="H8" i="1"/>
  <c r="S8" i="1" s="1"/>
  <c r="H7" i="1"/>
  <c r="S7" i="1" s="1"/>
  <c r="H6" i="1"/>
  <c r="F17" i="1"/>
  <c r="F11" i="1"/>
  <c r="O19" i="1"/>
  <c r="Q19" i="1" s="1"/>
  <c r="O18" i="1"/>
  <c r="O16" i="1"/>
  <c r="Q16" i="1" s="1"/>
  <c r="O15" i="1"/>
  <c r="O13" i="1"/>
  <c r="Q13" i="1" s="1"/>
  <c r="O12" i="1"/>
  <c r="O7" i="1"/>
  <c r="Q7" i="1" s="1"/>
  <c r="O9" i="1"/>
  <c r="O10" i="1"/>
  <c r="Q10" i="1" s="1"/>
  <c r="O6" i="1"/>
  <c r="O17" i="1" l="1"/>
  <c r="Q17" i="1" s="1"/>
  <c r="O11" i="1"/>
  <c r="Q11" i="1" s="1"/>
  <c r="S18" i="1"/>
  <c r="X18" i="1" s="1"/>
  <c r="S15" i="1"/>
  <c r="AE15" i="1" s="1"/>
  <c r="S12" i="1"/>
  <c r="U12" i="1" s="1"/>
  <c r="S9" i="1"/>
  <c r="AE9" i="1" s="1"/>
  <c r="S6" i="1"/>
  <c r="U6" i="1" s="1"/>
  <c r="O20" i="1"/>
  <c r="Q20" i="1" s="1"/>
  <c r="O14" i="1"/>
  <c r="Q14" i="1" s="1"/>
  <c r="O8" i="1"/>
  <c r="Q8" i="1" s="1"/>
  <c r="U8" i="1"/>
  <c r="U13" i="1"/>
  <c r="AA13" i="1" s="1"/>
  <c r="X13" i="1"/>
  <c r="AE13" i="1"/>
  <c r="U18" i="1"/>
  <c r="AE18" i="1"/>
  <c r="U17" i="1"/>
  <c r="X17" i="1"/>
  <c r="AE17" i="1"/>
  <c r="X9" i="1"/>
  <c r="U14" i="1"/>
  <c r="AE14" i="1"/>
  <c r="X14" i="1"/>
  <c r="X19" i="1"/>
  <c r="AE19" i="1"/>
  <c r="X6" i="1"/>
  <c r="U10" i="1"/>
  <c r="AA10" i="1" s="1"/>
  <c r="AE10" i="1"/>
  <c r="X10" i="1"/>
  <c r="X15" i="1"/>
  <c r="U20" i="1"/>
  <c r="X7" i="1"/>
  <c r="AE7" i="1"/>
  <c r="X12" i="1"/>
  <c r="AE12" i="1"/>
  <c r="U16" i="1"/>
  <c r="AA16" i="1" s="1"/>
  <c r="X16" i="1"/>
  <c r="AE16" i="1"/>
  <c r="AE11" i="1"/>
  <c r="Q12" i="1"/>
  <c r="P12" i="1"/>
  <c r="Q9" i="1"/>
  <c r="P9" i="1"/>
  <c r="Q18" i="1"/>
  <c r="T18" i="1"/>
  <c r="U19" i="1"/>
  <c r="P6" i="1"/>
  <c r="Q6" i="1"/>
  <c r="P15" i="1"/>
  <c r="Q15" i="1"/>
  <c r="U7" i="1"/>
  <c r="T12" i="1"/>
  <c r="T9" i="1"/>
  <c r="U11" i="1"/>
  <c r="I13" i="1"/>
  <c r="I17" i="1"/>
  <c r="I14" i="1"/>
  <c r="I6" i="1"/>
  <c r="I10" i="1"/>
  <c r="I15" i="1"/>
  <c r="I20" i="1"/>
  <c r="I8" i="1"/>
  <c r="I18" i="1"/>
  <c r="I9" i="1"/>
  <c r="I19" i="1"/>
  <c r="I7" i="1"/>
  <c r="I12" i="1"/>
  <c r="I16" i="1"/>
  <c r="I11" i="1"/>
  <c r="R9" i="1" l="1"/>
  <c r="X11" i="1"/>
  <c r="AA20" i="1"/>
  <c r="U15" i="1"/>
  <c r="V15" i="1" s="1"/>
  <c r="P18" i="1"/>
  <c r="R15" i="1"/>
  <c r="AA17" i="1"/>
  <c r="AA18" i="1"/>
  <c r="R12" i="1"/>
  <c r="T15" i="1"/>
  <c r="AG12" i="1" s="1"/>
  <c r="U9" i="1"/>
  <c r="V9" i="1" s="1"/>
  <c r="AE6" i="1"/>
  <c r="T6" i="1"/>
  <c r="AG6" i="1" s="1"/>
  <c r="AA8" i="1"/>
  <c r="AE8" i="1"/>
  <c r="R6" i="1"/>
  <c r="X8" i="1"/>
  <c r="AE20" i="1"/>
  <c r="R18" i="1"/>
  <c r="X20" i="1"/>
  <c r="AA14" i="1"/>
  <c r="Y6" i="1"/>
  <c r="AF12" i="1"/>
  <c r="Y12" i="1"/>
  <c r="AF15" i="1"/>
  <c r="Y15" i="1"/>
  <c r="V12" i="1"/>
  <c r="AA12" i="1"/>
  <c r="AA11" i="1"/>
  <c r="V6" i="1"/>
  <c r="AA7" i="1"/>
  <c r="V18" i="1"/>
  <c r="AA19" i="1"/>
  <c r="AF9" i="1"/>
  <c r="Y9" i="1"/>
  <c r="AF18" i="1"/>
  <c r="Y18" i="1"/>
  <c r="Z18" i="1" s="1"/>
  <c r="AA15" i="1"/>
  <c r="AA6" i="1"/>
  <c r="AA9" i="1"/>
  <c r="AF6" i="1" l="1"/>
  <c r="Z12" i="1"/>
  <c r="Z6" i="1"/>
  <c r="AB15" i="1"/>
  <c r="AB6" i="1"/>
  <c r="AB9" i="1"/>
  <c r="AB12" i="1"/>
  <c r="AG18" i="1"/>
  <c r="AB18" i="1"/>
  <c r="AC19" i="1" s="1"/>
  <c r="AC12" i="1" l="1"/>
  <c r="AC6" i="1"/>
  <c r="H35" i="5" l="1"/>
  <c r="J35" i="5" l="1"/>
  <c r="M35" i="5" l="1"/>
  <c r="I35" i="5"/>
  <c r="T35" i="5"/>
  <c r="U35" i="5" l="1"/>
  <c r="N35" i="5"/>
  <c r="N50" i="5" l="1"/>
  <c r="X35" i="5"/>
  <c r="G27" i="5" l="1"/>
  <c r="H27" i="5" s="1"/>
  <c r="M27" i="5" s="1"/>
  <c r="N27" i="5" l="1"/>
  <c r="I27" i="5"/>
  <c r="G11" i="5"/>
  <c r="G22" i="5"/>
  <c r="J11" i="5" l="1"/>
  <c r="H11" i="5"/>
  <c r="J22" i="5"/>
  <c r="H22" i="5"/>
  <c r="M22" i="5" l="1"/>
  <c r="I22" i="5"/>
  <c r="T22" i="5"/>
  <c r="T11" i="5"/>
  <c r="I11" i="5"/>
  <c r="M11" i="5"/>
  <c r="N11" i="5" l="1"/>
  <c r="N15" i="5" s="1"/>
  <c r="M15" i="5"/>
  <c r="O15" i="5" s="1"/>
  <c r="N22" i="5"/>
  <c r="U11" i="5"/>
  <c r="U15" i="5" s="1"/>
  <c r="T15" i="5"/>
  <c r="V15" i="5" s="1"/>
  <c r="U22" i="5"/>
  <c r="G17" i="5" l="1"/>
  <c r="G5" i="5"/>
  <c r="G33" i="5" l="1"/>
  <c r="H5" i="5"/>
  <c r="J5" i="5"/>
  <c r="H17" i="5"/>
  <c r="J17" i="5"/>
  <c r="H33" i="5" l="1"/>
  <c r="J33" i="5"/>
  <c r="I17" i="5"/>
  <c r="M17" i="5"/>
  <c r="T17" i="5"/>
  <c r="T5" i="5"/>
  <c r="M5" i="5"/>
  <c r="I5" i="5"/>
  <c r="H34" i="5"/>
  <c r="I34" i="5" s="1"/>
  <c r="G7" i="5"/>
  <c r="H7" i="5" s="1"/>
  <c r="I7" i="5" s="1"/>
  <c r="M10" i="5" l="1"/>
  <c r="N5" i="5"/>
  <c r="N17" i="5"/>
  <c r="M21" i="5"/>
  <c r="U5" i="5"/>
  <c r="T10" i="5"/>
  <c r="U17" i="5"/>
  <c r="M33" i="5"/>
  <c r="I33" i="5"/>
  <c r="T33" i="5"/>
  <c r="O21" i="5" l="1"/>
  <c r="H18" i="5"/>
  <c r="U33" i="5"/>
  <c r="T37" i="5"/>
  <c r="N43" i="5"/>
  <c r="N21" i="5"/>
  <c r="T16" i="5"/>
  <c r="V16" i="5" s="1"/>
  <c r="V10" i="5"/>
  <c r="N42" i="5"/>
  <c r="N10" i="5"/>
  <c r="N16" i="5" s="1"/>
  <c r="X16" i="5" s="1"/>
  <c r="N33" i="5"/>
  <c r="M37" i="5"/>
  <c r="U10" i="5"/>
  <c r="U16" i="5" s="1"/>
  <c r="Y16" i="5" s="1"/>
  <c r="U42" i="5"/>
  <c r="O10" i="5"/>
  <c r="M16" i="5"/>
  <c r="O16" i="5" s="1"/>
  <c r="M38" i="5" l="1"/>
  <c r="O38" i="5" s="1"/>
  <c r="O37" i="5"/>
  <c r="I18" i="5"/>
  <c r="T18" i="5"/>
  <c r="N44" i="5"/>
  <c r="N37" i="5"/>
  <c r="N38" i="5" s="1"/>
  <c r="X38" i="5" s="1"/>
  <c r="T38" i="5"/>
  <c r="V38" i="5" s="1"/>
  <c r="V37" i="5"/>
  <c r="N45" i="5"/>
  <c r="U37" i="5"/>
  <c r="U38" i="5" s="1"/>
  <c r="Y38" i="5" s="1"/>
  <c r="U44" i="5"/>
  <c r="U18" i="5" l="1"/>
  <c r="T21" i="5"/>
  <c r="V21" i="5" l="1"/>
  <c r="U21" i="5"/>
  <c r="U43" i="5"/>
  <c r="U45" i="5" s="1"/>
  <c r="G23" i="5" l="1"/>
  <c r="H23" i="5" l="1"/>
  <c r="J23" i="5"/>
  <c r="I23" i="5" l="1"/>
  <c r="T23" i="5"/>
  <c r="M23" i="5"/>
  <c r="N23" i="5" l="1"/>
  <c r="M26" i="5"/>
  <c r="U23" i="5"/>
  <c r="U26" i="5" s="1"/>
  <c r="U32" i="5" s="1"/>
  <c r="Y32" i="5" s="1"/>
  <c r="T26" i="5"/>
  <c r="V26" i="5" l="1"/>
  <c r="T32" i="5"/>
  <c r="V32" i="5" s="1"/>
  <c r="M32" i="5"/>
  <c r="O32" i="5" s="1"/>
  <c r="X23" i="5"/>
  <c r="N49" i="5"/>
  <c r="N51" i="5" s="1"/>
  <c r="N26" i="5"/>
  <c r="N32" i="5" s="1"/>
  <c r="X32" i="5" s="1"/>
  <c r="G29" i="5" l="1"/>
  <c r="H29" i="5" s="1"/>
  <c r="M29" i="5" s="1"/>
  <c r="M31" i="5" s="1"/>
  <c r="N29" i="5" l="1"/>
  <c r="N31" i="5" s="1"/>
  <c r="I29" i="5"/>
  <c r="G12" i="11" l="1"/>
  <c r="J12" i="11" l="1"/>
  <c r="H12" i="11"/>
  <c r="J23" i="11"/>
  <c r="H23" i="11"/>
  <c r="I23" i="11" l="1"/>
  <c r="M23" i="11"/>
  <c r="T23" i="11"/>
  <c r="I12" i="11"/>
  <c r="T12" i="11"/>
  <c r="M12" i="11"/>
  <c r="H35" i="11"/>
  <c r="J35" i="11"/>
  <c r="U23" i="11" l="1"/>
  <c r="U26" i="11" s="1"/>
  <c r="U32" i="11" s="1"/>
  <c r="Y32" i="11" s="1"/>
  <c r="T26" i="11"/>
  <c r="N12" i="11"/>
  <c r="M15" i="11"/>
  <c r="N23" i="11"/>
  <c r="M26" i="11"/>
  <c r="U12" i="11"/>
  <c r="U15" i="11" s="1"/>
  <c r="U16" i="11" s="1"/>
  <c r="Y16" i="11" s="1"/>
  <c r="T15" i="11"/>
  <c r="V15" i="11" s="1"/>
  <c r="I35" i="11"/>
  <c r="M35" i="11"/>
  <c r="T35" i="11"/>
  <c r="X12" i="11" l="1"/>
  <c r="N15" i="11"/>
  <c r="N16" i="11" s="1"/>
  <c r="X16" i="11" s="1"/>
  <c r="N48" i="11"/>
  <c r="T16" i="11"/>
  <c r="V16" i="11" s="1"/>
  <c r="O15" i="11"/>
  <c r="M16" i="11"/>
  <c r="O16" i="11" s="1"/>
  <c r="O26" i="11"/>
  <c r="M32" i="11"/>
  <c r="O32" i="11" s="1"/>
  <c r="V26" i="11"/>
  <c r="T32" i="11"/>
  <c r="V32" i="11" s="1"/>
  <c r="N49" i="11"/>
  <c r="X23" i="11"/>
  <c r="N26" i="11"/>
  <c r="N32" i="11" s="1"/>
  <c r="X32" i="11" s="1"/>
  <c r="N35" i="11"/>
  <c r="M37" i="11"/>
  <c r="U35" i="11"/>
  <c r="U37" i="11" s="1"/>
  <c r="U38" i="11" s="1"/>
  <c r="Y38" i="11" s="1"/>
  <c r="T37" i="11"/>
  <c r="M38" i="11" l="1"/>
  <c r="O38" i="11" s="1"/>
  <c r="O37" i="11"/>
  <c r="X35" i="11"/>
  <c r="N50" i="11"/>
  <c r="N51" i="11" s="1"/>
  <c r="N37" i="11"/>
  <c r="N38" i="11" s="1"/>
  <c r="X38" i="11" s="1"/>
  <c r="V37" i="11"/>
  <c r="T38" i="11"/>
  <c r="V38" i="11" s="1"/>
</calcChain>
</file>

<file path=xl/comments1.xml><?xml version="1.0" encoding="utf-8"?>
<comments xmlns="http://schemas.openxmlformats.org/spreadsheetml/2006/main">
  <authors>
    <author>Andreja</author>
  </authors>
  <commentList>
    <comment ref="S6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S26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</commentList>
</comments>
</file>

<file path=xl/comments2.xml><?xml version="1.0" encoding="utf-8"?>
<comments xmlns="http://schemas.openxmlformats.org/spreadsheetml/2006/main">
  <authors>
    <author>Andreja</author>
  </authors>
  <commentList>
    <comment ref="Q5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11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33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</commentList>
</comments>
</file>

<file path=xl/comments3.xml><?xml version="1.0" encoding="utf-8"?>
<comments xmlns="http://schemas.openxmlformats.org/spreadsheetml/2006/main">
  <authors>
    <author>Andreja</author>
  </authors>
  <commentList>
    <comment ref="Q5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11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33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</commentList>
</comments>
</file>

<file path=xl/comments4.xml><?xml version="1.0" encoding="utf-8"?>
<comments xmlns="http://schemas.openxmlformats.org/spreadsheetml/2006/main">
  <authors>
    <author>Andreja</author>
  </authors>
  <commentList>
    <comment ref="Q5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11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33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</commentList>
</comments>
</file>

<file path=xl/comments5.xml><?xml version="1.0" encoding="utf-8"?>
<comments xmlns="http://schemas.openxmlformats.org/spreadsheetml/2006/main">
  <authors>
    <author>Andreja</author>
  </authors>
  <commentList>
    <comment ref="Q5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simulacija cene (ga.Kupljen-obč.Ra), pri 10.000 € stroškov manj</t>
        </r>
      </text>
    </comment>
    <comment ref="Q11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33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K58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upoštevam 1/3 neg.rezultata iz var.1</t>
        </r>
      </text>
    </comment>
  </commentList>
</comments>
</file>

<file path=xl/comments6.xml><?xml version="1.0" encoding="utf-8"?>
<comments xmlns="http://schemas.openxmlformats.org/spreadsheetml/2006/main">
  <authors>
    <author>Andreja</author>
  </authors>
  <commentList>
    <comment ref="Q5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11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33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K58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ocena na podlagi neg.rezulata iz poslovanja l.2012 (13.000 € za obe dejavnosti)- povečano za 10 %- navodila direktor 6.1.2014</t>
        </r>
      </text>
    </comment>
  </commentList>
</comments>
</file>

<file path=xl/comments7.xml><?xml version="1.0" encoding="utf-8"?>
<comments xmlns="http://schemas.openxmlformats.org/spreadsheetml/2006/main">
  <authors>
    <author>Andreja</author>
  </authors>
  <commentList>
    <comment ref="Q5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11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Q33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delež stanovanja/skupni vodomer v bloku- izračun povprečnega stroška v blokih</t>
        </r>
      </text>
    </comment>
    <comment ref="K58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ocena na podlagi neg.rezulata iz poslovanja l.2012 (13.000 € za obe dejavnosti)- povečano za 10 %- navodila direktor 6.1.2014</t>
        </r>
      </text>
    </comment>
  </commentList>
</comments>
</file>

<file path=xl/comments8.xml><?xml version="1.0" encoding="utf-8"?>
<comments xmlns="http://schemas.openxmlformats.org/spreadsheetml/2006/main">
  <authors>
    <author>Andreja</author>
  </authors>
  <commentList>
    <comment ref="Z24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izračunana razlika med stroški 2008 in predvidenimi 2014 iz kalkulacije 2014</t>
        </r>
      </text>
    </comment>
    <comment ref="AF24" authorId="0">
      <text>
        <r>
          <rPr>
            <b/>
            <sz val="9"/>
            <color indexed="81"/>
            <rFont val="Tahoma"/>
            <family val="2"/>
            <charset val="238"/>
          </rPr>
          <t>Andreja:</t>
        </r>
        <r>
          <rPr>
            <sz val="9"/>
            <color indexed="81"/>
            <rFont val="Tahoma"/>
            <family val="2"/>
            <charset val="238"/>
          </rPr>
          <t xml:space="preserve">
razlika iz negativnega rezultata poslovanja 2012 (13.000*2 = 26.000) in 40.000 =14.000 €</t>
        </r>
      </text>
    </comment>
  </commentList>
</comments>
</file>

<file path=xl/sharedStrings.xml><?xml version="1.0" encoding="utf-8"?>
<sst xmlns="http://schemas.openxmlformats.org/spreadsheetml/2006/main" count="1043" uniqueCount="146">
  <si>
    <t>Občina</t>
  </si>
  <si>
    <t>GJS varstva okolja</t>
  </si>
  <si>
    <t>Vrsta cene</t>
  </si>
  <si>
    <t>Enota cene</t>
  </si>
  <si>
    <t>Cena brez DDV</t>
  </si>
  <si>
    <t>Ravne na Koroškem</t>
  </si>
  <si>
    <t>Oskrba s pitno vodo</t>
  </si>
  <si>
    <t>€/priklj.na mes</t>
  </si>
  <si>
    <t>Variabilni del</t>
  </si>
  <si>
    <r>
      <t>€/m</t>
    </r>
    <r>
      <rPr>
        <vertAlign val="superscript"/>
        <sz val="12"/>
        <color theme="1"/>
        <rFont val="Arial Narrow"/>
        <family val="2"/>
        <charset val="238"/>
      </rPr>
      <t>3</t>
    </r>
  </si>
  <si>
    <t>Vodna povračila</t>
  </si>
  <si>
    <t>Odvajanje komunalne in padavinske odpadne vode</t>
  </si>
  <si>
    <t>Prevalje</t>
  </si>
  <si>
    <t>Mežica</t>
  </si>
  <si>
    <t>Cena z 9,5 % DDV</t>
  </si>
  <si>
    <t>Predlagana cena
(l. 2013)</t>
  </si>
  <si>
    <t>Oskrba s pitno vodo- variabilni del</t>
  </si>
  <si>
    <t>Odvajanje odpadne vode- variabilni del</t>
  </si>
  <si>
    <t>JKP Log</t>
  </si>
  <si>
    <t>JKP 
Dravograd</t>
  </si>
  <si>
    <t>(cene še niso</t>
  </si>
  <si>
    <t>spreminjali)</t>
  </si>
  <si>
    <t>JKP Slovenj Gradec 
(od 01.05.2013)</t>
  </si>
  <si>
    <t>Vodno povračilo</t>
  </si>
  <si>
    <t>JKP Radlje ob Dravi
(od 01.02.2013)</t>
  </si>
  <si>
    <t>občina
Ravne na Kor.</t>
  </si>
  <si>
    <t>občina
Prevalje</t>
  </si>
  <si>
    <t>občina
Mežica</t>
  </si>
  <si>
    <t>druge komunale</t>
  </si>
  <si>
    <t>POVPREČNA KOLIČINA-4.ČL.DRUŽINE</t>
  </si>
  <si>
    <t>Fiksni del- omrežnina (DN20)</t>
  </si>
  <si>
    <t>MESEČNO</t>
  </si>
  <si>
    <t>LETNO</t>
  </si>
  <si>
    <t>Razlika v ceni (z DDV)</t>
  </si>
  <si>
    <t>Vrednosti postavk z DDV
 (8,5 %)</t>
  </si>
  <si>
    <t>Vrednosti skupaj z DDV
 (8,5 %)</t>
  </si>
  <si>
    <t>Vrednosti postavk z DDV
 (9,5 %)</t>
  </si>
  <si>
    <t>Vrednosti skupaj z DDV
 (9,5 %)</t>
  </si>
  <si>
    <t>KOLIČINE</t>
  </si>
  <si>
    <t xml:space="preserve">Razlika postavk z DDV
</t>
  </si>
  <si>
    <t xml:space="preserve">Razlika skupaj z DDV
</t>
  </si>
  <si>
    <t>SKUPAJ</t>
  </si>
  <si>
    <t>Okoljska dajatev odpadnih voda *</t>
  </si>
  <si>
    <t>Okoljska dajatev odpadnih voda*</t>
  </si>
  <si>
    <t>Okoljska dajatev odpadnih voda* - ni obdavčeno</t>
  </si>
  <si>
    <t>Opomba:</t>
  </si>
  <si>
    <t xml:space="preserve">Razlika VOKA 
z DDV
</t>
  </si>
  <si>
    <t xml:space="preserve">Primerjava prodajnih cen VOKA </t>
  </si>
  <si>
    <r>
      <t>in sprememba stroškov za 4.člansko družino 
s povpr.porabo vode (4,5 m</t>
    </r>
    <r>
      <rPr>
        <b/>
        <vertAlign val="superscript"/>
        <sz val="12"/>
        <color theme="1"/>
        <rFont val="Arial Narrow"/>
        <family val="2"/>
        <charset val="238"/>
      </rPr>
      <t>3</t>
    </r>
    <r>
      <rPr>
        <b/>
        <sz val="12"/>
        <color theme="1"/>
        <rFont val="Arial Narrow"/>
        <family val="2"/>
        <charset val="238"/>
      </rPr>
      <t>/osebo)</t>
    </r>
  </si>
  <si>
    <t>Obstoječa cena na dan 01.07.2013
(stroški l.2008, pričetek velj. 2010)</t>
  </si>
  <si>
    <t>Indeks sprememb 
(2013/2010)</t>
  </si>
  <si>
    <t xml:space="preserve">Indeks storitev
</t>
  </si>
  <si>
    <t xml:space="preserve">Indeks 
postavk
</t>
  </si>
  <si>
    <t xml:space="preserve">Indeks VOKA
</t>
  </si>
  <si>
    <t>Vredn. postavk z DDV
 (9,5 %)</t>
  </si>
  <si>
    <t>VREDNOSTI PO 
OBSTOJEČI CENI 
(mesečno)</t>
  </si>
  <si>
    <t>VREDNOSTI PO 
NOVI CENI
(mesečno)</t>
  </si>
  <si>
    <t>VREDNOST RAZLIK
NOVE CENE/OBSTOJEČE</t>
  </si>
  <si>
    <t>INDEKS SPREMEMB RAZLIK NOVE CENE/ OBSTOJEČE</t>
  </si>
  <si>
    <t>Vredn.skupaj 
z DDV
 (9,5 %)</t>
  </si>
  <si>
    <t>SKUPAJ- oskrba s pitno vodo</t>
  </si>
  <si>
    <t>SKUPAJ- odpadne vode</t>
  </si>
  <si>
    <t>SKUPAJ VOKA</t>
  </si>
  <si>
    <t>Cena 
brez DDV</t>
  </si>
  <si>
    <t>Cena 
z 9,5 % DDV</t>
  </si>
  <si>
    <t>POVPREČNE KOLIČINE 4. ČL.DRUŽINE</t>
  </si>
  <si>
    <t>INDEKS SPREMEMB NOVE CENE/ OBSTOJEČE</t>
  </si>
  <si>
    <t>VREDNOSTI PO 
OBSTOJEČI CENI Z DDV</t>
  </si>
  <si>
    <t>VREDNOSTI PO 
NOVI CENI Z DDV</t>
  </si>
  <si>
    <t>INDIVIDUALNA HIŠA</t>
  </si>
  <si>
    <t>STANOVANJE V BLOKU</t>
  </si>
  <si>
    <t>MESEČNO
po obst.ceni</t>
  </si>
  <si>
    <t>MESEČNO
po novi ceni</t>
  </si>
  <si>
    <t>delež stanovanja/skupni vodomer v bloku</t>
  </si>
  <si>
    <t>MESEČNO
(povpr. !)</t>
  </si>
  <si>
    <t>Storitev, vezana na greznice</t>
  </si>
  <si>
    <t>Predlagana cena
(l. 2014)</t>
  </si>
  <si>
    <t>Poračun števnin- bloki (DN20)</t>
  </si>
  <si>
    <t>mes.POVPREČNE KOLIČINE 4. ČL.DRUŽINE</t>
  </si>
  <si>
    <t>mes.VREDNOSTI PO 
OBSTOJEČI CENI Z DDV</t>
  </si>
  <si>
    <t>mes.VREDNOSTI PO 
NOVI CENI Z DDV</t>
  </si>
  <si>
    <t>mes.VREDNOST RAZLIK
NOVE CENE/OBSTOJEČE</t>
  </si>
  <si>
    <t>mes. POVPREČNE KOLIČINE 4. ČL.DRUŽINE</t>
  </si>
  <si>
    <r>
      <t>m</t>
    </r>
    <r>
      <rPr>
        <vertAlign val="superscript"/>
        <sz val="12"/>
        <color theme="1"/>
        <rFont val="Arial Narrow"/>
        <family val="2"/>
        <charset val="238"/>
      </rPr>
      <t>3</t>
    </r>
    <r>
      <rPr>
        <sz val="12"/>
        <color theme="1"/>
        <rFont val="Arial Narrow"/>
        <family val="2"/>
        <charset val="238"/>
      </rPr>
      <t>/osebo in mes.</t>
    </r>
  </si>
  <si>
    <t>povpr.poraba (RPM)</t>
  </si>
  <si>
    <t>BLOK</t>
  </si>
  <si>
    <t>Ravne</t>
  </si>
  <si>
    <t>Skupno povprečje</t>
  </si>
  <si>
    <t>Fiksni del + poračun</t>
  </si>
  <si>
    <t>Povprečni dvig na priključek in mes FIKSNE CENE VOKA</t>
  </si>
  <si>
    <t>Povprečni dvig na osebo in mes VARIABILNE CENE VOKA</t>
  </si>
  <si>
    <t>Skupaj MKČN Leše</t>
  </si>
  <si>
    <t>SKUPAJ- odpadne vode (brez MKČN Leše)</t>
  </si>
  <si>
    <t>SKUPAJ VOKA (brez MKČN Leše)</t>
  </si>
  <si>
    <t>Subvencija fiksnega dela cene</t>
  </si>
  <si>
    <t>1. Cena čiščenja odpadnih voda (za MKČN Leše) je nova storitev, ki se obračuna dodatno k ceni odvajanja odpadnih voda</t>
  </si>
  <si>
    <r>
      <t>Čiščenje odpadnih voda (MKČN Leše)</t>
    </r>
    <r>
      <rPr>
        <b/>
        <vertAlign val="superscript"/>
        <sz val="12"/>
        <color theme="1"/>
        <rFont val="Arial Narrow"/>
        <family val="2"/>
        <charset val="238"/>
      </rPr>
      <t>1</t>
    </r>
  </si>
  <si>
    <r>
      <t>Subvencija fiksnega dela cene</t>
    </r>
    <r>
      <rPr>
        <vertAlign val="superscript"/>
        <sz val="12"/>
        <color theme="1"/>
        <rFont val="Arial Narrow"/>
        <family val="2"/>
        <charset val="238"/>
      </rPr>
      <t>2</t>
    </r>
  </si>
  <si>
    <t>2. Subvencija fiksnega dela cene čiščenja odpadnih voda za MKČN Leše (50 % letnega zneska AM, ki znaša 402 €)</t>
  </si>
  <si>
    <t>Okoljska dajatev odpadnih voda (znižana)*</t>
  </si>
  <si>
    <t xml:space="preserve">* Okoljska dajatev odpadnih voda- polno ceno plača uporabnik storitev odvajanja odpadnih voda, uporabnik MKČN Leše plača znižano vrednost </t>
  </si>
  <si>
    <r>
      <t>in sprememba stroškov za 4.člansko družino 
s povpr.porabo vode občin RPM (3,8 m</t>
    </r>
    <r>
      <rPr>
        <b/>
        <vertAlign val="superscript"/>
        <sz val="10"/>
        <color theme="1"/>
        <rFont val="Arial Narrow"/>
        <family val="2"/>
        <charset val="238"/>
      </rPr>
      <t>3</t>
    </r>
    <r>
      <rPr>
        <b/>
        <sz val="10"/>
        <color theme="1"/>
        <rFont val="Arial Narrow"/>
        <family val="2"/>
        <charset val="238"/>
      </rPr>
      <t>/osebo)</t>
    </r>
  </si>
  <si>
    <r>
      <rPr>
        <b/>
        <sz val="12"/>
        <rFont val="Arial Narrow"/>
        <family val="2"/>
        <charset val="238"/>
      </rPr>
      <t>Var.2:</t>
    </r>
    <r>
      <rPr>
        <sz val="12"/>
        <color theme="1"/>
        <rFont val="Arial Narrow"/>
        <family val="2"/>
        <charset val="238"/>
      </rPr>
      <t xml:space="preserve"> var. del (str.2012), fiksni del (str.2012)</t>
    </r>
  </si>
  <si>
    <t>NOVA UREDBA</t>
  </si>
  <si>
    <t xml:space="preserve"> -  na oskrbi s pitno vodo za cca: 15.000 € </t>
  </si>
  <si>
    <t xml:space="preserve"> -  na odvajanju odpadnih voda za cca: 14.000 €.</t>
  </si>
  <si>
    <t xml:space="preserve"> -  na oskrbi s pitno vodo za cca: 5.000 € </t>
  </si>
  <si>
    <t xml:space="preserve"> -  na odvajanju odpadnih voda za cca: 4.000 €.</t>
  </si>
  <si>
    <t>Ob sprejetju variabilnega dela cene na osnovi stroškov 2012, ki ne upošteva ocenjenih sprememb 2013-2014, bo ustvarjena predvidena izguba v letu 2014:</t>
  </si>
  <si>
    <t>Ob sprejetju (ohtranitvi) variabilnega dela cene na osnovi stroškov 2008, ki ne upošteva tekočih stroškov leta 2012 in ocenjenih sprememb 2013-2014, bo ustvarjena predvidena izguba v letu 2014:</t>
  </si>
  <si>
    <r>
      <rPr>
        <b/>
        <sz val="12"/>
        <rFont val="Arial Narrow"/>
        <family val="2"/>
        <charset val="238"/>
      </rPr>
      <t xml:space="preserve">Var.1: </t>
    </r>
    <r>
      <rPr>
        <sz val="12"/>
        <rFont val="Arial Narrow"/>
        <family val="2"/>
        <charset val="238"/>
      </rPr>
      <t>fiksni del (str.2012);</t>
    </r>
    <r>
      <rPr>
        <sz val="12"/>
        <color theme="1"/>
        <rFont val="Arial Narrow"/>
        <family val="2"/>
        <charset val="238"/>
      </rPr>
      <t xml:space="preserve"> var. del (str.2012),</t>
    </r>
  </si>
  <si>
    <r>
      <rPr>
        <b/>
        <sz val="12"/>
        <rFont val="Arial Narrow"/>
        <family val="2"/>
        <charset val="238"/>
      </rPr>
      <t>Var.2:</t>
    </r>
    <r>
      <rPr>
        <sz val="12"/>
        <color theme="1"/>
        <rFont val="Arial Narrow"/>
        <family val="2"/>
        <charset val="238"/>
      </rPr>
      <t xml:space="preserve"> fiksni del (str.2012); var.del (str.2008)= cena l.2010, </t>
    </r>
  </si>
  <si>
    <r>
      <rPr>
        <b/>
        <sz val="12"/>
        <rFont val="Arial Narrow"/>
        <family val="2"/>
        <charset val="238"/>
      </rPr>
      <t>Var.3:</t>
    </r>
    <r>
      <rPr>
        <sz val="12"/>
        <color theme="1"/>
        <rFont val="Arial Narrow"/>
        <family val="2"/>
        <charset val="238"/>
      </rPr>
      <t xml:space="preserve"> fiksni del (str.2012); var.del (str.2008)= cena l.2010---&gt; </t>
    </r>
    <r>
      <rPr>
        <b/>
        <sz val="12"/>
        <color theme="1"/>
        <rFont val="Arial Narrow"/>
        <family val="2"/>
        <charset val="238"/>
      </rPr>
      <t>RAZLIKA IZ FIKSNEGA DELA CENE</t>
    </r>
  </si>
  <si>
    <t>Oskrba s pitno vodo-variabilni del</t>
  </si>
  <si>
    <t>Odpadne vode-variabilni del</t>
  </si>
  <si>
    <t>indeks</t>
  </si>
  <si>
    <t>Skupaj- fiksni del</t>
  </si>
  <si>
    <t>Skupaj- variabilni del</t>
  </si>
  <si>
    <t>Oskrba s pitno vodo- omrežnina (DN20)</t>
  </si>
  <si>
    <t>Odpadne vode-  omrežnina (DN20)</t>
  </si>
  <si>
    <t>Cena 
brez DDV (l.2014)</t>
  </si>
  <si>
    <r>
      <t>€/m</t>
    </r>
    <r>
      <rPr>
        <vertAlign val="superscript"/>
        <sz val="10"/>
        <color theme="1"/>
        <rFont val="Arial Narrow"/>
        <family val="2"/>
        <charset val="238"/>
      </rPr>
      <t>3</t>
    </r>
  </si>
  <si>
    <t>Posledica sprejetja posamezne variante:</t>
  </si>
  <si>
    <t>Pozitivno poslovanje</t>
  </si>
  <si>
    <t xml:space="preserve">Negativno poslovanje </t>
  </si>
  <si>
    <t>Fiksni del- nova cena</t>
  </si>
  <si>
    <t xml:space="preserve">Variabilni del- obstoječa cena </t>
  </si>
  <si>
    <t>Variabilni del- nova cena (stroški 2012)</t>
  </si>
  <si>
    <t>Obstoječa cena: 
od 1.8.2010 
(stroški l.2008)</t>
  </si>
  <si>
    <t>Predlagane variante prodajnih cen VOKA _2014 za občino Prevalje</t>
  </si>
  <si>
    <t>Individualna hiša</t>
  </si>
  <si>
    <t>Blok</t>
  </si>
  <si>
    <r>
      <rPr>
        <b/>
        <u/>
        <sz val="12"/>
        <color theme="1"/>
        <rFont val="Arial Narrow"/>
        <family val="2"/>
        <charset val="238"/>
      </rPr>
      <t xml:space="preserve">Varianta 1/2014: 
</t>
    </r>
    <r>
      <rPr>
        <b/>
        <sz val="12"/>
        <color theme="1"/>
        <rFont val="Arial Narrow"/>
        <family val="2"/>
        <charset val="238"/>
      </rPr>
      <t>Nova uredba (UL 87/2012)</t>
    </r>
    <r>
      <rPr>
        <sz val="12"/>
        <color theme="1"/>
        <rFont val="Arial Narrow"/>
        <family val="2"/>
        <charset val="238"/>
      </rPr>
      <t xml:space="preserve">
1. Fiksni del (stroški 2012)
2. Variabilni del (stroški 2008)</t>
    </r>
  </si>
  <si>
    <r>
      <rPr>
        <b/>
        <u/>
        <sz val="12"/>
        <color theme="1"/>
        <rFont val="Arial Narrow"/>
        <family val="2"/>
        <charset val="238"/>
      </rPr>
      <t xml:space="preserve">Varianta 2/2014:
</t>
    </r>
    <r>
      <rPr>
        <b/>
        <sz val="12"/>
        <color theme="1"/>
        <rFont val="Arial Narrow"/>
        <family val="2"/>
        <charset val="238"/>
      </rPr>
      <t>Nova uredba (UL 87/2012)</t>
    </r>
    <r>
      <rPr>
        <sz val="12"/>
        <color theme="1"/>
        <rFont val="Arial Narrow"/>
        <family val="2"/>
        <charset val="238"/>
      </rPr>
      <t xml:space="preserve">
1. Fiksni del (stroški 2012)
2. Variabilni del (stroški 2012)</t>
    </r>
  </si>
  <si>
    <t>Cena 
brez DDV (l.2014,
l.2010)</t>
  </si>
  <si>
    <r>
      <t>Tabela: Predlagane variante prodajnih cen in simulacija izračuna spremembe stroškov za 4-člansko gospodinjstvo s povprečno porabo vode 3,8 m</t>
    </r>
    <r>
      <rPr>
        <b/>
        <u/>
        <vertAlign val="superscript"/>
        <sz val="12"/>
        <color theme="1"/>
        <rFont val="Arial Narrow"/>
        <family val="2"/>
        <charset val="238"/>
      </rPr>
      <t>3</t>
    </r>
    <r>
      <rPr>
        <b/>
        <u/>
        <sz val="12"/>
        <color theme="1"/>
        <rFont val="Arial Narrow"/>
        <family val="2"/>
        <charset val="238"/>
      </rPr>
      <t>/osebo</t>
    </r>
  </si>
  <si>
    <t>Ob ohranitvi variabilnega dela cene na osnovi stroškov 2008, ki ne upošteva tekočih stroškov leta 2012 (izguba) in ocenjenih sprememb 2013-2014, bo ustvarjena predvidena skupna izguba VOKA v letu 2014 cca  -40.000 €.</t>
  </si>
  <si>
    <t>Ob sprejetju variabilnega dela cene na osnovi stroškov 2012, ki ne upoštevajo ocenjenih sprememb 2013-2014, bo ustvarjena predvidena izguba VOKA v letu 2014: 
cca. -14.000 €.</t>
  </si>
  <si>
    <t>Ocenjeni ničelni rezultat poslovanja- 
(oz. 730 €).</t>
  </si>
  <si>
    <t>Ocenjeni rezultat:</t>
  </si>
  <si>
    <t>mesečna razlika 
(v € z DDV)</t>
  </si>
  <si>
    <t>Skupaj</t>
  </si>
  <si>
    <r>
      <rPr>
        <b/>
        <u/>
        <sz val="12"/>
        <color theme="1"/>
        <rFont val="Arial Narrow"/>
        <family val="2"/>
        <charset val="238"/>
      </rPr>
      <t>Predlog 1- (8.11.2013):</t>
    </r>
    <r>
      <rPr>
        <b/>
        <sz val="12"/>
        <color theme="1"/>
        <rFont val="Arial Narrow"/>
        <family val="2"/>
        <charset val="238"/>
      </rPr>
      <t xml:space="preserve">
Nova uredba (UL 87/2012)</t>
    </r>
    <r>
      <rPr>
        <sz val="12"/>
        <color theme="1"/>
        <rFont val="Arial Narrow"/>
        <family val="2"/>
        <charset val="238"/>
      </rPr>
      <t xml:space="preserve">
1. Fiksni del (stroški 2012)
2. Variabilni del (stroški 2012+ spremembe 2013/14+donos+dodatni str.za investic.)</t>
    </r>
  </si>
  <si>
    <r>
      <rPr>
        <b/>
        <u/>
        <sz val="12"/>
        <color theme="1"/>
        <rFont val="Arial Narrow"/>
        <family val="2"/>
        <charset val="238"/>
      </rPr>
      <t>Predlog 2a- znižani (19.12.2013):</t>
    </r>
    <r>
      <rPr>
        <b/>
        <sz val="12"/>
        <color theme="1"/>
        <rFont val="Arial Narrow"/>
        <family val="2"/>
        <charset val="238"/>
      </rPr>
      <t xml:space="preserve">
Nova uredba (UL 87/2012)</t>
    </r>
    <r>
      <rPr>
        <sz val="12"/>
        <color theme="1"/>
        <rFont val="Arial Narrow"/>
        <family val="2"/>
        <charset val="238"/>
      </rPr>
      <t xml:space="preserve">
. Fiksni del (stroški 2012+števnine)-poračun
2. Variabilni del (stroški 2012+ spremembe 2013/14)- dodatno znižanje za razliko DDV (neto = bruto)</t>
    </r>
  </si>
  <si>
    <t>Ocenjeni rezultati (+ 11.000 €, +7.000 €)</t>
  </si>
  <si>
    <r>
      <rPr>
        <b/>
        <u/>
        <sz val="12"/>
        <color theme="1"/>
        <rFont val="Arial Narrow"/>
        <family val="2"/>
        <charset val="238"/>
      </rPr>
      <t>Predlog 2- (5.12.2013):</t>
    </r>
    <r>
      <rPr>
        <b/>
        <sz val="12"/>
        <color theme="1"/>
        <rFont val="Arial Narrow"/>
        <family val="2"/>
        <charset val="238"/>
      </rPr>
      <t xml:space="preserve">
Nova uredba (UL 87/2012)</t>
    </r>
    <r>
      <rPr>
        <sz val="12"/>
        <color theme="1"/>
        <rFont val="Arial Narrow"/>
        <family val="2"/>
        <charset val="238"/>
      </rPr>
      <t xml:space="preserve">
1. Fiksni del (stroški 2012+števnine)-poračun
2. Variabilni del (stroški 2012+ spremembe 2013/14)
+ dodatno cena čiščenja odp.vode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</si>
</sst>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\ &quot;€&quot;"/>
    <numFmt numFmtId="165" formatCode="0.000"/>
    <numFmt numFmtId="166" formatCode="0.0000"/>
    <numFmt numFmtId="167" formatCode="#,##0.0\ &quot;€&quot;"/>
    <numFmt numFmtId="168" formatCode="#,##0\ &quot;€&quot;"/>
  </numFmts>
  <fonts count="22" x14ac:knownFonts="1"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vertAlign val="superscript"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vertAlign val="superscript"/>
      <sz val="12"/>
      <color theme="1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u/>
      <sz val="12"/>
      <color theme="1"/>
      <name val="Arial Narrow"/>
      <family val="2"/>
      <charset val="238"/>
    </font>
    <font>
      <b/>
      <u/>
      <vertAlign val="superscript"/>
      <sz val="12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3" xfId="0" applyBorder="1"/>
    <xf numFmtId="0" fontId="0" fillId="0" borderId="6" xfId="0" applyBorder="1"/>
    <xf numFmtId="0" fontId="0" fillId="0" borderId="21" xfId="0" applyBorder="1"/>
    <xf numFmtId="0" fontId="1" fillId="2" borderId="1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0" xfId="0" applyBorder="1"/>
    <xf numFmtId="0" fontId="0" fillId="0" borderId="31" xfId="0" applyBorder="1"/>
    <xf numFmtId="164" fontId="0" fillId="0" borderId="3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19" xfId="0" applyFont="1" applyFill="1" applyBorder="1" applyAlignment="1"/>
    <xf numFmtId="0" fontId="1" fillId="2" borderId="24" xfId="0" applyFont="1" applyFill="1" applyBorder="1"/>
    <xf numFmtId="0" fontId="1" fillId="2" borderId="35" xfId="0" applyFont="1" applyFill="1" applyBorder="1" applyAlignment="1">
      <alignment horizontal="center" wrapText="1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Border="1"/>
    <xf numFmtId="0" fontId="0" fillId="3" borderId="40" xfId="0" applyFill="1" applyBorder="1" applyAlignment="1">
      <alignment wrapText="1"/>
    </xf>
    <xf numFmtId="0" fontId="1" fillId="2" borderId="10" xfId="0" applyFont="1" applyFill="1" applyBorder="1"/>
    <xf numFmtId="0" fontId="1" fillId="2" borderId="11" xfId="0" applyFont="1" applyFill="1" applyBorder="1" applyAlignment="1"/>
    <xf numFmtId="0" fontId="1" fillId="2" borderId="11" xfId="0" applyFont="1" applyFill="1" applyBorder="1"/>
    <xf numFmtId="2" fontId="0" fillId="3" borderId="50" xfId="0" applyNumberFormat="1" applyFill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2" borderId="53" xfId="0" applyNumberFormat="1" applyFill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wrapText="1"/>
    </xf>
    <xf numFmtId="2" fontId="0" fillId="3" borderId="53" xfId="0" applyNumberFormat="1" applyFill="1" applyBorder="1" applyAlignment="1">
      <alignment horizontal="center"/>
    </xf>
    <xf numFmtId="0" fontId="1" fillId="2" borderId="56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 wrapText="1"/>
    </xf>
    <xf numFmtId="164" fontId="0" fillId="3" borderId="76" xfId="0" applyNumberFormat="1" applyFill="1" applyBorder="1" applyAlignment="1">
      <alignment horizontal="center"/>
    </xf>
    <xf numFmtId="164" fontId="0" fillId="0" borderId="77" xfId="0" applyNumberFormat="1" applyBorder="1" applyAlignment="1">
      <alignment horizontal="center"/>
    </xf>
    <xf numFmtId="164" fontId="0" fillId="0" borderId="78" xfId="0" applyNumberFormat="1" applyBorder="1" applyAlignment="1">
      <alignment horizontal="center"/>
    </xf>
    <xf numFmtId="164" fontId="0" fillId="2" borderId="79" xfId="0" applyNumberFormat="1" applyFill="1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164" fontId="0" fillId="3" borderId="42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3" borderId="69" xfId="0" applyNumberFormat="1" applyFont="1" applyFill="1" applyBorder="1" applyAlignment="1">
      <alignment horizontal="center"/>
    </xf>
    <xf numFmtId="164" fontId="0" fillId="0" borderId="66" xfId="0" applyNumberFormat="1" applyFont="1" applyBorder="1" applyAlignment="1">
      <alignment horizontal="center"/>
    </xf>
    <xf numFmtId="164" fontId="0" fillId="0" borderId="67" xfId="0" applyNumberFormat="1" applyFont="1" applyBorder="1" applyAlignment="1">
      <alignment horizontal="center"/>
    </xf>
    <xf numFmtId="164" fontId="0" fillId="2" borderId="68" xfId="0" applyNumberFormat="1" applyFont="1" applyFill="1" applyBorder="1" applyAlignment="1">
      <alignment horizontal="center"/>
    </xf>
    <xf numFmtId="164" fontId="0" fillId="0" borderId="65" xfId="0" applyNumberFormat="1" applyFont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0" fontId="1" fillId="0" borderId="0" xfId="0" applyFont="1"/>
    <xf numFmtId="0" fontId="1" fillId="2" borderId="47" xfId="0" applyFont="1" applyFill="1" applyBorder="1"/>
    <xf numFmtId="0" fontId="5" fillId="3" borderId="91" xfId="0" applyFont="1" applyFill="1" applyBorder="1"/>
    <xf numFmtId="0" fontId="0" fillId="0" borderId="92" xfId="0" applyBorder="1"/>
    <xf numFmtId="0" fontId="0" fillId="0" borderId="93" xfId="0" applyBorder="1"/>
    <xf numFmtId="0" fontId="5" fillId="2" borderId="94" xfId="0" applyFont="1" applyFill="1" applyBorder="1"/>
    <xf numFmtId="0" fontId="0" fillId="0" borderId="95" xfId="0" applyBorder="1"/>
    <xf numFmtId="164" fontId="0" fillId="3" borderId="97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164" fontId="0" fillId="0" borderId="98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96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0" fontId="5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 wrapText="1"/>
    </xf>
    <xf numFmtId="2" fontId="0" fillId="4" borderId="70" xfId="0" applyNumberFormat="1" applyFill="1" applyBorder="1" applyAlignment="1">
      <alignment horizontal="center"/>
    </xf>
    <xf numFmtId="2" fontId="0" fillId="4" borderId="71" xfId="0" applyNumberFormat="1" applyFill="1" applyBorder="1" applyAlignment="1">
      <alignment horizontal="center"/>
    </xf>
    <xf numFmtId="2" fontId="0" fillId="4" borderId="72" xfId="0" applyNumberFormat="1" applyFill="1" applyBorder="1" applyAlignment="1">
      <alignment horizontal="center"/>
    </xf>
    <xf numFmtId="2" fontId="0" fillId="4" borderId="73" xfId="0" applyNumberFormat="1" applyFill="1" applyBorder="1" applyAlignment="1">
      <alignment horizontal="center"/>
    </xf>
    <xf numFmtId="2" fontId="0" fillId="4" borderId="74" xfId="0" applyNumberFormat="1" applyFill="1" applyBorder="1" applyAlignment="1">
      <alignment horizontal="center"/>
    </xf>
    <xf numFmtId="0" fontId="1" fillId="4" borderId="57" xfId="0" applyFont="1" applyFill="1" applyBorder="1" applyAlignment="1">
      <alignment horizontal="center" wrapText="1"/>
    </xf>
    <xf numFmtId="164" fontId="0" fillId="4" borderId="62" xfId="0" applyNumberFormat="1" applyFill="1" applyBorder="1" applyAlignment="1">
      <alignment horizontal="center"/>
    </xf>
    <xf numFmtId="164" fontId="0" fillId="4" borderId="59" xfId="0" applyNumberFormat="1" applyFill="1" applyBorder="1" applyAlignment="1">
      <alignment horizontal="center"/>
    </xf>
    <xf numFmtId="164" fontId="0" fillId="4" borderId="60" xfId="0" applyNumberFormat="1" applyFill="1" applyBorder="1" applyAlignment="1">
      <alignment horizontal="center"/>
    </xf>
    <xf numFmtId="164" fontId="0" fillId="4" borderId="58" xfId="0" applyNumberFormat="1" applyFill="1" applyBorder="1" applyAlignment="1">
      <alignment horizontal="center"/>
    </xf>
    <xf numFmtId="164" fontId="0" fillId="4" borderId="61" xfId="0" applyNumberFormat="1" applyFill="1" applyBorder="1" applyAlignment="1">
      <alignment horizontal="center"/>
    </xf>
    <xf numFmtId="164" fontId="0" fillId="4" borderId="76" xfId="0" applyNumberFormat="1" applyFill="1" applyBorder="1" applyAlignment="1">
      <alignment horizontal="center"/>
    </xf>
    <xf numFmtId="164" fontId="0" fillId="4" borderId="77" xfId="0" applyNumberFormat="1" applyFill="1" applyBorder="1" applyAlignment="1">
      <alignment horizontal="center"/>
    </xf>
    <xf numFmtId="164" fontId="0" fillId="4" borderId="78" xfId="0" applyNumberFormat="1" applyFill="1" applyBorder="1" applyAlignment="1">
      <alignment horizontal="center"/>
    </xf>
    <xf numFmtId="164" fontId="0" fillId="4" borderId="79" xfId="0" applyNumberFormat="1" applyFill="1" applyBorder="1" applyAlignment="1">
      <alignment horizontal="center"/>
    </xf>
    <xf numFmtId="164" fontId="0" fillId="4" borderId="80" xfId="0" applyNumberFormat="1" applyFill="1" applyBorder="1" applyAlignment="1">
      <alignment horizontal="center"/>
    </xf>
    <xf numFmtId="164" fontId="0" fillId="3" borderId="79" xfId="0" applyNumberFormat="1" applyFill="1" applyBorder="1" applyAlignment="1">
      <alignment horizontal="center"/>
    </xf>
    <xf numFmtId="0" fontId="1" fillId="2" borderId="99" xfId="0" applyFont="1" applyFill="1" applyBorder="1" applyAlignment="1">
      <alignment horizontal="center" wrapText="1"/>
    </xf>
    <xf numFmtId="0" fontId="1" fillId="2" borderId="100" xfId="0" applyFont="1" applyFill="1" applyBorder="1" applyAlignment="1">
      <alignment horizontal="center" wrapText="1"/>
    </xf>
    <xf numFmtId="0" fontId="1" fillId="2" borderId="90" xfId="0" applyFont="1" applyFill="1" applyBorder="1" applyAlignment="1">
      <alignment horizontal="center" wrapText="1"/>
    </xf>
    <xf numFmtId="0" fontId="1" fillId="4" borderId="101" xfId="0" applyFont="1" applyFill="1" applyBorder="1" applyAlignment="1">
      <alignment horizontal="center" wrapText="1"/>
    </xf>
    <xf numFmtId="0" fontId="1" fillId="4" borderId="100" xfId="0" applyFont="1" applyFill="1" applyBorder="1" applyAlignment="1">
      <alignment horizontal="center" wrapText="1"/>
    </xf>
    <xf numFmtId="164" fontId="0" fillId="4" borderId="104" xfId="0" applyNumberFormat="1" applyFill="1" applyBorder="1" applyAlignment="1">
      <alignment horizontal="center" vertical="center"/>
    </xf>
    <xf numFmtId="2" fontId="0" fillId="3" borderId="69" xfId="0" applyNumberFormat="1" applyFont="1" applyFill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0" fillId="2" borderId="68" xfId="0" applyNumberFormat="1" applyFont="1" applyFill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0" fontId="0" fillId="4" borderId="105" xfId="0" applyFill="1" applyBorder="1" applyAlignment="1">
      <alignment horizontal="center" vertical="center"/>
    </xf>
    <xf numFmtId="0" fontId="1" fillId="4" borderId="85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4" fillId="0" borderId="110" xfId="0" applyFont="1" applyBorder="1"/>
    <xf numFmtId="0" fontId="0" fillId="0" borderId="110" xfId="0" applyBorder="1"/>
    <xf numFmtId="2" fontId="0" fillId="3" borderId="79" xfId="0" applyNumberFormat="1" applyFill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0" fillId="2" borderId="79" xfId="0" applyNumberFormat="1" applyFill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2" fontId="0" fillId="3" borderId="76" xfId="0" applyNumberFormat="1" applyFill="1" applyBorder="1" applyAlignment="1">
      <alignment horizontal="center"/>
    </xf>
    <xf numFmtId="0" fontId="0" fillId="0" borderId="40" xfId="0" applyFill="1" applyBorder="1" applyAlignment="1">
      <alignment wrapText="1"/>
    </xf>
    <xf numFmtId="0" fontId="5" fillId="0" borderId="91" xfId="0" applyFont="1" applyFill="1" applyBorder="1"/>
    <xf numFmtId="164" fontId="0" fillId="0" borderId="97" xfId="0" applyNumberForma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164" fontId="0" fillId="0" borderId="42" xfId="0" applyNumberFormat="1" applyFont="1" applyFill="1" applyBorder="1" applyAlignment="1">
      <alignment horizontal="center"/>
    </xf>
    <xf numFmtId="164" fontId="0" fillId="0" borderId="69" xfId="0" applyNumberFormat="1" applyFont="1" applyFill="1" applyBorder="1" applyAlignment="1">
      <alignment horizontal="center"/>
    </xf>
    <xf numFmtId="2" fontId="0" fillId="0" borderId="69" xfId="0" applyNumberFormat="1" applyFont="1" applyFill="1" applyBorder="1" applyAlignment="1">
      <alignment horizontal="center"/>
    </xf>
    <xf numFmtId="0" fontId="0" fillId="3" borderId="19" xfId="0" applyFill="1" applyBorder="1"/>
    <xf numFmtId="164" fontId="1" fillId="3" borderId="22" xfId="0" applyNumberFormat="1" applyFont="1" applyFill="1" applyBorder="1" applyAlignment="1">
      <alignment horizontal="center"/>
    </xf>
    <xf numFmtId="0" fontId="0" fillId="2" borderId="19" xfId="0" applyFill="1" applyBorder="1"/>
    <xf numFmtId="164" fontId="1" fillId="2" borderId="22" xfId="0" applyNumberFormat="1" applyFon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0" fontId="5" fillId="0" borderId="112" xfId="0" applyFont="1" applyFill="1" applyBorder="1"/>
    <xf numFmtId="164" fontId="0" fillId="0" borderId="32" xfId="0" applyNumberForma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68" xfId="0" applyNumberFormat="1" applyFont="1" applyFill="1" applyBorder="1" applyAlignment="1">
      <alignment horizontal="center"/>
    </xf>
    <xf numFmtId="2" fontId="0" fillId="0" borderId="68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3" borderId="18" xfId="0" applyFont="1" applyFill="1" applyBorder="1"/>
    <xf numFmtId="0" fontId="1" fillId="2" borderId="18" xfId="0" applyFont="1" applyFill="1" applyBorder="1"/>
    <xf numFmtId="0" fontId="5" fillId="0" borderId="109" xfId="0" applyFont="1" applyBorder="1"/>
    <xf numFmtId="164" fontId="1" fillId="5" borderId="120" xfId="0" applyNumberFormat="1" applyFont="1" applyFill="1" applyBorder="1" applyAlignment="1">
      <alignment horizontal="center"/>
    </xf>
    <xf numFmtId="164" fontId="1" fillId="5" borderId="121" xfId="0" applyNumberFormat="1" applyFont="1" applyFill="1" applyBorder="1" applyAlignment="1">
      <alignment horizontal="center"/>
    </xf>
    <xf numFmtId="164" fontId="1" fillId="5" borderId="119" xfId="0" applyNumberFormat="1" applyFont="1" applyFill="1" applyBorder="1" applyAlignment="1">
      <alignment horizontal="center"/>
    </xf>
    <xf numFmtId="164" fontId="1" fillId="5" borderId="10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/>
    <xf numFmtId="2" fontId="0" fillId="2" borderId="1" xfId="0" applyNumberFormat="1" applyFont="1" applyFill="1" applyBorder="1" applyAlignment="1"/>
    <xf numFmtId="2" fontId="0" fillId="5" borderId="55" xfId="0" applyNumberFormat="1" applyFont="1" applyFill="1" applyBorder="1" applyAlignment="1"/>
    <xf numFmtId="0" fontId="1" fillId="2" borderId="56" xfId="0" applyFont="1" applyFill="1" applyBorder="1" applyAlignment="1">
      <alignment vertical="center"/>
    </xf>
    <xf numFmtId="0" fontId="1" fillId="2" borderId="129" xfId="0" applyFont="1" applyFill="1" applyBorder="1" applyAlignment="1">
      <alignment vertical="center"/>
    </xf>
    <xf numFmtId="0" fontId="1" fillId="2" borderId="127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1" fillId="4" borderId="114" xfId="0" applyFont="1" applyFill="1" applyBorder="1" applyAlignment="1">
      <alignment horizontal="center" vertical="center"/>
    </xf>
    <xf numFmtId="0" fontId="1" fillId="2" borderId="114" xfId="0" applyFont="1" applyFill="1" applyBorder="1" applyAlignment="1">
      <alignment horizontal="center" vertical="center"/>
    </xf>
    <xf numFmtId="0" fontId="5" fillId="0" borderId="0" xfId="0" applyFont="1"/>
    <xf numFmtId="0" fontId="9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1" fillId="2" borderId="57" xfId="0" applyFont="1" applyFill="1" applyBorder="1" applyAlignment="1">
      <alignment vertical="center"/>
    </xf>
    <xf numFmtId="165" fontId="0" fillId="0" borderId="0" xfId="0" applyNumberFormat="1"/>
    <xf numFmtId="0" fontId="0" fillId="0" borderId="13" xfId="0" applyBorder="1" applyAlignment="1">
      <alignment wrapText="1"/>
    </xf>
    <xf numFmtId="164" fontId="0" fillId="0" borderId="117" xfId="0" applyNumberFormat="1" applyBorder="1" applyAlignment="1">
      <alignment horizontal="center"/>
    </xf>
    <xf numFmtId="164" fontId="0" fillId="0" borderId="131" xfId="0" applyNumberFormat="1" applyFont="1" applyBorder="1" applyAlignment="1">
      <alignment horizontal="center"/>
    </xf>
    <xf numFmtId="164" fontId="0" fillId="0" borderId="109" xfId="0" applyNumberFormat="1" applyFont="1" applyBorder="1" applyAlignment="1">
      <alignment horizontal="center"/>
    </xf>
    <xf numFmtId="2" fontId="0" fillId="0" borderId="109" xfId="0" applyNumberFormat="1" applyFont="1" applyBorder="1" applyAlignment="1">
      <alignment horizontal="center"/>
    </xf>
    <xf numFmtId="164" fontId="1" fillId="0" borderId="118" xfId="0" applyNumberFormat="1" applyFont="1" applyBorder="1" applyAlignment="1">
      <alignment horizontal="center"/>
    </xf>
    <xf numFmtId="164" fontId="10" fillId="5" borderId="120" xfId="0" applyNumberFormat="1" applyFont="1" applyFill="1" applyBorder="1" applyAlignment="1">
      <alignment horizontal="center"/>
    </xf>
    <xf numFmtId="164" fontId="10" fillId="5" borderId="56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2" fontId="3" fillId="0" borderId="125" xfId="0" applyNumberFormat="1" applyFont="1" applyFill="1" applyBorder="1" applyAlignment="1">
      <alignment horizontal="center"/>
    </xf>
    <xf numFmtId="0" fontId="3" fillId="0" borderId="0" xfId="0" applyFont="1"/>
    <xf numFmtId="2" fontId="3" fillId="0" borderId="32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2" fontId="3" fillId="0" borderId="123" xfId="0" applyNumberFormat="1" applyFont="1" applyBorder="1" applyAlignment="1">
      <alignment horizontal="center"/>
    </xf>
    <xf numFmtId="2" fontId="3" fillId="0" borderId="115" xfId="0" applyNumberFormat="1" applyFont="1" applyFill="1" applyBorder="1" applyAlignment="1">
      <alignment horizontal="center"/>
    </xf>
    <xf numFmtId="2" fontId="3" fillId="4" borderId="116" xfId="0" applyNumberFormat="1" applyFont="1" applyFill="1" applyBorder="1" applyAlignment="1">
      <alignment horizontal="center"/>
    </xf>
    <xf numFmtId="164" fontId="3" fillId="0" borderId="115" xfId="0" applyNumberFormat="1" applyFont="1" applyBorder="1" applyAlignment="1">
      <alignment horizontal="center"/>
    </xf>
    <xf numFmtId="164" fontId="3" fillId="4" borderId="116" xfId="0" applyNumberFormat="1" applyFont="1" applyFill="1" applyBorder="1" applyAlignment="1">
      <alignment horizontal="center"/>
    </xf>
    <xf numFmtId="2" fontId="3" fillId="0" borderId="124" xfId="0" applyNumberFormat="1" applyFont="1" applyBorder="1" applyAlignment="1">
      <alignment horizontal="center"/>
    </xf>
    <xf numFmtId="2" fontId="11" fillId="3" borderId="34" xfId="0" applyNumberFormat="1" applyFont="1" applyFill="1" applyBorder="1" applyAlignment="1"/>
    <xf numFmtId="2" fontId="11" fillId="3" borderId="24" xfId="0" applyNumberFormat="1" applyFont="1" applyFill="1" applyBorder="1" applyAlignment="1"/>
    <xf numFmtId="164" fontId="11" fillId="3" borderId="14" xfId="0" applyNumberFormat="1" applyFont="1" applyFill="1" applyBorder="1" applyAlignment="1">
      <alignment horizontal="center"/>
    </xf>
    <xf numFmtId="164" fontId="11" fillId="3" borderId="22" xfId="0" applyNumberFormat="1" applyFont="1" applyFill="1" applyBorder="1" applyAlignment="1">
      <alignment horizontal="center"/>
    </xf>
    <xf numFmtId="2" fontId="3" fillId="3" borderId="102" xfId="0" applyNumberFormat="1" applyFont="1" applyFill="1" applyBorder="1" applyAlignment="1">
      <alignment horizontal="center"/>
    </xf>
    <xf numFmtId="2" fontId="3" fillId="0" borderId="128" xfId="0" applyNumberFormat="1" applyFont="1" applyFill="1" applyBorder="1" applyAlignment="1">
      <alignment horizontal="center"/>
    </xf>
    <xf numFmtId="2" fontId="3" fillId="4" borderId="132" xfId="0" applyNumberFormat="1" applyFont="1" applyFill="1" applyBorder="1" applyAlignment="1">
      <alignment horizontal="center"/>
    </xf>
    <xf numFmtId="164" fontId="3" fillId="0" borderId="117" xfId="0" applyNumberFormat="1" applyFont="1" applyBorder="1" applyAlignment="1">
      <alignment horizontal="center"/>
    </xf>
    <xf numFmtId="164" fontId="3" fillId="4" borderId="118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2" fontId="3" fillId="0" borderId="133" xfId="0" applyNumberFormat="1" applyFont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2" fontId="3" fillId="0" borderId="126" xfId="0" applyNumberFormat="1" applyFont="1" applyBorder="1" applyAlignment="1">
      <alignment horizontal="center"/>
    </xf>
    <xf numFmtId="2" fontId="3" fillId="2" borderId="34" xfId="0" applyNumberFormat="1" applyFont="1" applyFill="1" applyBorder="1" applyAlignment="1"/>
    <xf numFmtId="2" fontId="3" fillId="2" borderId="24" xfId="0" applyNumberFormat="1" applyFont="1" applyFill="1" applyBorder="1" applyAlignment="1"/>
    <xf numFmtId="164" fontId="11" fillId="2" borderId="117" xfId="0" applyNumberFormat="1" applyFont="1" applyFill="1" applyBorder="1" applyAlignment="1">
      <alignment horizontal="center"/>
    </xf>
    <xf numFmtId="164" fontId="11" fillId="2" borderId="118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/>
    </xf>
    <xf numFmtId="164" fontId="11" fillId="2" borderId="22" xfId="0" applyNumberFormat="1" applyFont="1" applyFill="1" applyBorder="1" applyAlignment="1">
      <alignment horizontal="center"/>
    </xf>
    <xf numFmtId="2" fontId="11" fillId="2" borderId="126" xfId="0" applyNumberFormat="1" applyFont="1" applyFill="1" applyBorder="1" applyAlignment="1">
      <alignment horizontal="center"/>
    </xf>
    <xf numFmtId="2" fontId="3" fillId="5" borderId="75" xfId="0" applyNumberFormat="1" applyFont="1" applyFill="1" applyBorder="1" applyAlignment="1"/>
    <xf numFmtId="2" fontId="3" fillId="5" borderId="114" xfId="0" applyNumberFormat="1" applyFont="1" applyFill="1" applyBorder="1" applyAlignment="1"/>
    <xf numFmtId="164" fontId="11" fillId="5" borderId="120" xfId="0" applyNumberFormat="1" applyFont="1" applyFill="1" applyBorder="1" applyAlignment="1">
      <alignment horizontal="center"/>
    </xf>
    <xf numFmtId="164" fontId="11" fillId="5" borderId="121" xfId="0" applyNumberFormat="1" applyFont="1" applyFill="1" applyBorder="1" applyAlignment="1">
      <alignment horizontal="center"/>
    </xf>
    <xf numFmtId="2" fontId="11" fillId="5" borderId="105" xfId="0" applyNumberFormat="1" applyFont="1" applyFill="1" applyBorder="1" applyAlignment="1">
      <alignment horizontal="center"/>
    </xf>
    <xf numFmtId="2" fontId="3" fillId="0" borderId="97" xfId="0" applyNumberFormat="1" applyFont="1" applyFill="1" applyBorder="1" applyAlignment="1">
      <alignment horizontal="center"/>
    </xf>
    <xf numFmtId="2" fontId="3" fillId="4" borderId="41" xfId="0" applyNumberFormat="1" applyFont="1" applyFill="1" applyBorder="1" applyAlignment="1">
      <alignment horizontal="center"/>
    </xf>
    <xf numFmtId="164" fontId="3" fillId="0" borderId="97" xfId="0" applyNumberFormat="1" applyFont="1" applyFill="1" applyBorder="1" applyAlignment="1">
      <alignment horizontal="center"/>
    </xf>
    <xf numFmtId="164" fontId="3" fillId="4" borderId="41" xfId="0" applyNumberFormat="1" applyFont="1" applyFill="1" applyBorder="1" applyAlignment="1">
      <alignment horizontal="center"/>
    </xf>
    <xf numFmtId="2" fontId="3" fillId="0" borderId="122" xfId="0" applyNumberFormat="1" applyFont="1" applyFill="1" applyBorder="1" applyAlignment="1">
      <alignment horizontal="center"/>
    </xf>
    <xf numFmtId="2" fontId="3" fillId="0" borderId="97" xfId="0" applyNumberFormat="1" applyFont="1" applyFill="1" applyBorder="1" applyAlignment="1">
      <alignment horizontal="center" wrapText="1"/>
    </xf>
    <xf numFmtId="164" fontId="11" fillId="5" borderId="127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2" fontId="3" fillId="2" borderId="32" xfId="0" applyNumberFormat="1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2" fontId="3" fillId="2" borderId="125" xfId="0" applyNumberFormat="1" applyFont="1" applyFill="1" applyBorder="1" applyAlignment="1">
      <alignment horizontal="center"/>
    </xf>
    <xf numFmtId="0" fontId="0" fillId="2" borderId="24" xfId="0" applyFill="1" applyBorder="1"/>
    <xf numFmtId="0" fontId="1" fillId="0" borderId="0" xfId="0" applyFont="1" applyAlignment="1">
      <alignment horizontal="left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164" fontId="0" fillId="3" borderId="15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2" borderId="34" xfId="0" applyFont="1" applyFill="1" applyBorder="1"/>
    <xf numFmtId="164" fontId="1" fillId="0" borderId="20" xfId="0" applyNumberFormat="1" applyFont="1" applyBorder="1"/>
    <xf numFmtId="0" fontId="1" fillId="6" borderId="0" xfId="0" applyFont="1" applyFill="1"/>
    <xf numFmtId="0" fontId="0" fillId="6" borderId="0" xfId="0" applyFill="1"/>
    <xf numFmtId="2" fontId="11" fillId="3" borderId="10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vertical="center" wrapText="1"/>
    </xf>
    <xf numFmtId="0" fontId="5" fillId="0" borderId="135" xfId="0" applyFont="1" applyFill="1" applyBorder="1"/>
    <xf numFmtId="2" fontId="3" fillId="0" borderId="138" xfId="0" applyNumberFormat="1" applyFont="1" applyBorder="1" applyAlignment="1">
      <alignment horizontal="center"/>
    </xf>
    <xf numFmtId="2" fontId="3" fillId="2" borderId="128" xfId="0" applyNumberFormat="1" applyFont="1" applyFill="1" applyBorder="1" applyAlignment="1"/>
    <xf numFmtId="2" fontId="3" fillId="0" borderId="5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67" xfId="0" applyNumberFormat="1" applyFont="1" applyFill="1" applyBorder="1" applyAlignment="1">
      <alignment horizontal="center"/>
    </xf>
    <xf numFmtId="0" fontId="0" fillId="0" borderId="130" xfId="0" applyBorder="1"/>
    <xf numFmtId="0" fontId="0" fillId="0" borderId="2" xfId="0" applyFill="1" applyBorder="1" applyAlignment="1">
      <alignment wrapText="1"/>
    </xf>
    <xf numFmtId="164" fontId="0" fillId="0" borderId="141" xfId="0" applyNumberFormat="1" applyFont="1" applyFill="1" applyBorder="1" applyAlignment="1">
      <alignment horizontal="center"/>
    </xf>
    <xf numFmtId="164" fontId="1" fillId="0" borderId="135" xfId="0" applyNumberFormat="1" applyFont="1" applyFill="1" applyBorder="1" applyAlignment="1">
      <alignment horizontal="center"/>
    </xf>
    <xf numFmtId="164" fontId="0" fillId="0" borderId="142" xfId="0" applyNumberFormat="1" applyFont="1" applyFill="1" applyBorder="1" applyAlignment="1">
      <alignment horizontal="center"/>
    </xf>
    <xf numFmtId="2" fontId="0" fillId="0" borderId="142" xfId="0" applyNumberFormat="1" applyFont="1" applyFill="1" applyBorder="1" applyAlignment="1">
      <alignment horizontal="center"/>
    </xf>
    <xf numFmtId="2" fontId="3" fillId="7" borderId="142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117" xfId="0" applyNumberFormat="1" applyFont="1" applyFill="1" applyBorder="1" applyAlignment="1">
      <alignment horizontal="center"/>
    </xf>
    <xf numFmtId="164" fontId="11" fillId="0" borderId="117" xfId="0" applyNumberFormat="1" applyFont="1" applyFill="1" applyBorder="1" applyAlignment="1">
      <alignment horizontal="center"/>
    </xf>
    <xf numFmtId="2" fontId="3" fillId="0" borderId="126" xfId="0" applyNumberFormat="1" applyFont="1" applyFill="1" applyBorder="1" applyAlignment="1">
      <alignment horizontal="center"/>
    </xf>
    <xf numFmtId="164" fontId="0" fillId="0" borderId="139" xfId="0" applyNumberFormat="1" applyFont="1" applyFill="1" applyBorder="1" applyAlignment="1">
      <alignment horizontal="center"/>
    </xf>
    <xf numFmtId="164" fontId="1" fillId="0" borderId="140" xfId="0" applyNumberFormat="1" applyFont="1" applyFill="1" applyBorder="1" applyAlignment="1">
      <alignment horizontal="center"/>
    </xf>
    <xf numFmtId="164" fontId="0" fillId="0" borderId="108" xfId="0" applyNumberFormat="1" applyFont="1" applyFill="1" applyBorder="1" applyAlignment="1">
      <alignment horizontal="center"/>
    </xf>
    <xf numFmtId="2" fontId="0" fillId="0" borderId="108" xfId="0" applyNumberFormat="1" applyFont="1" applyFill="1" applyBorder="1" applyAlignment="1">
      <alignment horizontal="center"/>
    </xf>
    <xf numFmtId="2" fontId="3" fillId="7" borderId="108" xfId="0" applyNumberFormat="1" applyFont="1" applyFill="1" applyBorder="1" applyAlignment="1">
      <alignment horizontal="center"/>
    </xf>
    <xf numFmtId="164" fontId="3" fillId="7" borderId="143" xfId="0" applyNumberFormat="1" applyFont="1" applyFill="1" applyBorder="1" applyAlignment="1">
      <alignment horizontal="center"/>
    </xf>
    <xf numFmtId="2" fontId="3" fillId="0" borderId="104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 wrapText="1"/>
    </xf>
    <xf numFmtId="2" fontId="3" fillId="0" borderId="143" xfId="0" applyNumberFormat="1" applyFont="1" applyFill="1" applyBorder="1" applyAlignment="1">
      <alignment horizontal="center"/>
    </xf>
    <xf numFmtId="164" fontId="3" fillId="0" borderId="14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9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64" fontId="0" fillId="2" borderId="128" xfId="0" applyNumberFormat="1" applyFill="1" applyBorder="1" applyAlignment="1">
      <alignment horizontal="center"/>
    </xf>
    <xf numFmtId="164" fontId="0" fillId="2" borderId="132" xfId="0" applyNumberFormat="1" applyFill="1" applyBorder="1" applyAlignment="1">
      <alignment horizontal="center"/>
    </xf>
    <xf numFmtId="0" fontId="0" fillId="0" borderId="111" xfId="0" applyBorder="1"/>
    <xf numFmtId="164" fontId="3" fillId="7" borderId="147" xfId="0" applyNumberFormat="1" applyFont="1" applyFill="1" applyBorder="1" applyAlignment="1">
      <alignment horizontal="center"/>
    </xf>
    <xf numFmtId="2" fontId="3" fillId="0" borderId="148" xfId="0" applyNumberFormat="1" applyFont="1" applyFill="1" applyBorder="1" applyAlignment="1">
      <alignment horizontal="center"/>
    </xf>
    <xf numFmtId="164" fontId="3" fillId="7" borderId="117" xfId="0" applyNumberFormat="1" applyFont="1" applyFill="1" applyBorder="1" applyAlignment="1">
      <alignment horizontal="center"/>
    </xf>
    <xf numFmtId="2" fontId="3" fillId="7" borderId="66" xfId="0" applyNumberFormat="1" applyFont="1" applyFill="1" applyBorder="1" applyAlignment="1">
      <alignment horizontal="center"/>
    </xf>
    <xf numFmtId="164" fontId="3" fillId="7" borderId="23" xfId="0" applyNumberFormat="1" applyFont="1" applyFill="1" applyBorder="1" applyAlignment="1">
      <alignment horizontal="center"/>
    </xf>
    <xf numFmtId="164" fontId="0" fillId="0" borderId="131" xfId="0" applyNumberFormat="1" applyFont="1" applyFill="1" applyBorder="1" applyAlignment="1">
      <alignment horizontal="center"/>
    </xf>
    <xf numFmtId="164" fontId="1" fillId="0" borderId="118" xfId="0" applyNumberFormat="1" applyFont="1" applyFill="1" applyBorder="1" applyAlignment="1">
      <alignment horizontal="center"/>
    </xf>
    <xf numFmtId="164" fontId="0" fillId="0" borderId="109" xfId="0" applyNumberFormat="1" applyFont="1" applyFill="1" applyBorder="1" applyAlignment="1">
      <alignment horizontal="center"/>
    </xf>
    <xf numFmtId="2" fontId="0" fillId="0" borderId="109" xfId="0" applyNumberFormat="1" applyFont="1" applyFill="1" applyBorder="1" applyAlignment="1">
      <alignment horizontal="center"/>
    </xf>
    <xf numFmtId="2" fontId="3" fillId="7" borderId="109" xfId="0" applyNumberFormat="1" applyFont="1" applyFill="1" applyBorder="1" applyAlignment="1">
      <alignment horizontal="center"/>
    </xf>
    <xf numFmtId="164" fontId="11" fillId="7" borderId="14" xfId="0" applyNumberFormat="1" applyFont="1" applyFill="1" applyBorder="1" applyAlignment="1">
      <alignment horizontal="center"/>
    </xf>
    <xf numFmtId="2" fontId="3" fillId="0" borderId="146" xfId="0" applyNumberFormat="1" applyFont="1" applyBorder="1" applyAlignment="1">
      <alignment horizontal="center"/>
    </xf>
    <xf numFmtId="0" fontId="3" fillId="0" borderId="131" xfId="0" applyFont="1" applyBorder="1"/>
    <xf numFmtId="0" fontId="0" fillId="7" borderId="19" xfId="0" applyFill="1" applyBorder="1"/>
    <xf numFmtId="164" fontId="0" fillId="7" borderId="34" xfId="0" applyNumberFormat="1" applyFill="1" applyBorder="1" applyAlignment="1">
      <alignment horizontal="center"/>
    </xf>
    <xf numFmtId="164" fontId="0" fillId="7" borderId="24" xfId="0" applyNumberFormat="1" applyFill="1" applyBorder="1" applyAlignment="1">
      <alignment horizontal="center"/>
    </xf>
    <xf numFmtId="164" fontId="0" fillId="7" borderId="35" xfId="0" applyNumberFormat="1" applyFont="1" applyFill="1" applyBorder="1" applyAlignment="1">
      <alignment horizontal="center"/>
    </xf>
    <xf numFmtId="164" fontId="1" fillId="7" borderId="22" xfId="0" applyNumberFormat="1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2" fontId="3" fillId="7" borderId="34" xfId="0" applyNumberFormat="1" applyFont="1" applyFill="1" applyBorder="1" applyAlignment="1">
      <alignment horizontal="center"/>
    </xf>
    <xf numFmtId="164" fontId="3" fillId="7" borderId="14" xfId="0" applyNumberFormat="1" applyFont="1" applyFill="1" applyBorder="1" applyAlignment="1">
      <alignment horizontal="center"/>
    </xf>
    <xf numFmtId="2" fontId="3" fillId="7" borderId="102" xfId="0" applyNumberFormat="1" applyFont="1" applyFill="1" applyBorder="1" applyAlignment="1">
      <alignment horizontal="center"/>
    </xf>
    <xf numFmtId="2" fontId="11" fillId="2" borderId="102" xfId="0" applyNumberFormat="1" applyFont="1" applyFill="1" applyBorder="1" applyAlignment="1">
      <alignment horizontal="center"/>
    </xf>
    <xf numFmtId="2" fontId="3" fillId="0" borderId="150" xfId="0" applyNumberFormat="1" applyFont="1" applyFill="1" applyBorder="1" applyAlignment="1">
      <alignment horizontal="center"/>
    </xf>
    <xf numFmtId="2" fontId="3" fillId="0" borderId="151" xfId="0" applyNumberFormat="1" applyFont="1" applyBorder="1" applyAlignment="1">
      <alignment horizontal="center"/>
    </xf>
    <xf numFmtId="2" fontId="3" fillId="0" borderId="152" xfId="0" applyNumberFormat="1" applyFont="1" applyBorder="1" applyAlignment="1">
      <alignment horizontal="center"/>
    </xf>
    <xf numFmtId="2" fontId="11" fillId="3" borderId="24" xfId="0" applyNumberFormat="1" applyFont="1" applyFill="1" applyBorder="1" applyAlignment="1">
      <alignment horizontal="center"/>
    </xf>
    <xf numFmtId="2" fontId="3" fillId="0" borderId="132" xfId="0" applyNumberFormat="1" applyFont="1" applyBorder="1" applyAlignment="1">
      <alignment horizontal="center"/>
    </xf>
    <xf numFmtId="2" fontId="11" fillId="2" borderId="24" xfId="0" applyNumberFormat="1" applyFont="1" applyFill="1" applyBorder="1" applyAlignment="1">
      <alignment horizontal="center"/>
    </xf>
    <xf numFmtId="2" fontId="11" fillId="5" borderId="153" xfId="0" applyNumberFormat="1" applyFont="1" applyFill="1" applyBorder="1" applyAlignment="1">
      <alignment horizontal="center"/>
    </xf>
    <xf numFmtId="2" fontId="3" fillId="0" borderId="154" xfId="0" applyNumberFormat="1" applyFont="1" applyFill="1" applyBorder="1" applyAlignment="1">
      <alignment horizontal="center"/>
    </xf>
    <xf numFmtId="2" fontId="3" fillId="3" borderId="24" xfId="0" applyNumberFormat="1" applyFont="1" applyFill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11" fillId="2" borderId="132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132" xfId="0" applyNumberFormat="1" applyFont="1" applyFill="1" applyBorder="1" applyAlignment="1">
      <alignment horizontal="center"/>
    </xf>
    <xf numFmtId="0" fontId="12" fillId="0" borderId="0" xfId="0" applyFont="1"/>
    <xf numFmtId="166" fontId="0" fillId="0" borderId="0" xfId="0" applyNumberFormat="1"/>
    <xf numFmtId="0" fontId="1" fillId="0" borderId="0" xfId="0" applyFont="1" applyAlignment="1">
      <alignment horizontal="left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Fill="1"/>
    <xf numFmtId="0" fontId="1" fillId="6" borderId="20" xfId="0" applyFont="1" applyFill="1" applyBorder="1"/>
    <xf numFmtId="164" fontId="16" fillId="3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0" xfId="0" applyFont="1" applyFill="1" applyBorder="1"/>
    <xf numFmtId="0" fontId="5" fillId="0" borderId="3" xfId="0" applyFont="1" applyFill="1" applyBorder="1"/>
    <xf numFmtId="0" fontId="5" fillId="0" borderId="6" xfId="0" applyFont="1" applyFill="1" applyBorder="1"/>
    <xf numFmtId="0" fontId="1" fillId="2" borderId="57" xfId="0" applyFont="1" applyFill="1" applyBorder="1" applyAlignment="1">
      <alignment horizontal="center" wrapText="1"/>
    </xf>
    <xf numFmtId="164" fontId="1" fillId="0" borderId="91" xfId="0" applyNumberFormat="1" applyFont="1" applyFill="1" applyBorder="1" applyAlignment="1">
      <alignment horizontal="center"/>
    </xf>
    <xf numFmtId="164" fontId="1" fillId="0" borderId="92" xfId="0" applyNumberFormat="1" applyFont="1" applyFill="1" applyBorder="1" applyAlignment="1">
      <alignment horizontal="center"/>
    </xf>
    <xf numFmtId="164" fontId="1" fillId="2" borderId="92" xfId="0" applyNumberFormat="1" applyFont="1" applyFill="1" applyBorder="1" applyAlignment="1">
      <alignment horizontal="center"/>
    </xf>
    <xf numFmtId="164" fontId="1" fillId="0" borderId="92" xfId="0" applyNumberFormat="1" applyFont="1" applyBorder="1" applyAlignment="1">
      <alignment horizontal="center"/>
    </xf>
    <xf numFmtId="164" fontId="1" fillId="0" borderId="156" xfId="0" applyNumberFormat="1" applyFont="1" applyBorder="1" applyAlignment="1">
      <alignment horizontal="center"/>
    </xf>
    <xf numFmtId="164" fontId="1" fillId="2" borderId="130" xfId="0" applyNumberFormat="1" applyFont="1" applyFill="1" applyBorder="1" applyAlignment="1">
      <alignment horizontal="center"/>
    </xf>
    <xf numFmtId="164" fontId="1" fillId="0" borderId="94" xfId="0" applyNumberFormat="1" applyFont="1" applyBorder="1" applyAlignment="1">
      <alignment horizontal="center"/>
    </xf>
    <xf numFmtId="164" fontId="1" fillId="0" borderId="93" xfId="0" applyNumberFormat="1" applyFont="1" applyFill="1" applyBorder="1" applyAlignment="1">
      <alignment horizontal="center"/>
    </xf>
    <xf numFmtId="164" fontId="0" fillId="0" borderId="97" xfId="0" applyNumberForma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0" fillId="0" borderId="115" xfId="0" applyNumberFormat="1" applyBorder="1" applyAlignment="1">
      <alignment horizontal="center"/>
    </xf>
    <xf numFmtId="164" fontId="1" fillId="2" borderId="143" xfId="0" applyNumberFormat="1" applyFont="1" applyFill="1" applyBorder="1" applyAlignment="1">
      <alignment horizontal="center"/>
    </xf>
    <xf numFmtId="164" fontId="0" fillId="0" borderId="147" xfId="0" applyNumberFormat="1" applyBorder="1" applyAlignment="1">
      <alignment horizontal="center"/>
    </xf>
    <xf numFmtId="164" fontId="1" fillId="2" borderId="160" xfId="0" applyNumberFormat="1" applyFont="1" applyFill="1" applyBorder="1" applyAlignment="1">
      <alignment horizontal="center"/>
    </xf>
    <xf numFmtId="2" fontId="1" fillId="2" borderId="158" xfId="0" applyNumberFormat="1" applyFont="1" applyFill="1" applyBorder="1" applyAlignment="1">
      <alignment horizontal="center"/>
    </xf>
    <xf numFmtId="164" fontId="0" fillId="0" borderId="97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147" xfId="0" applyNumberFormat="1" applyFont="1" applyFill="1" applyBorder="1" applyAlignment="1">
      <alignment horizontal="center"/>
    </xf>
    <xf numFmtId="164" fontId="0" fillId="3" borderId="23" xfId="0" applyNumberFormat="1" applyFont="1" applyFill="1" applyBorder="1" applyAlignment="1">
      <alignment horizontal="center"/>
    </xf>
    <xf numFmtId="164" fontId="0" fillId="2" borderId="66" xfId="0" applyNumberFormat="1" applyFont="1" applyFill="1" applyBorder="1" applyAlignment="1">
      <alignment horizontal="center"/>
    </xf>
    <xf numFmtId="2" fontId="1" fillId="2" borderId="159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155" xfId="0" applyFont="1" applyBorder="1"/>
    <xf numFmtId="0" fontId="5" fillId="0" borderId="2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vertical="top" wrapText="1"/>
    </xf>
    <xf numFmtId="0" fontId="3" fillId="0" borderId="40" xfId="0" applyFont="1" applyFill="1" applyBorder="1" applyAlignment="1">
      <alignment wrapText="1"/>
    </xf>
    <xf numFmtId="164" fontId="3" fillId="0" borderId="40" xfId="0" applyNumberFormat="1" applyFont="1" applyFill="1" applyBorder="1" applyAlignment="1">
      <alignment horizontal="center"/>
    </xf>
    <xf numFmtId="164" fontId="11" fillId="0" borderId="4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0" borderId="155" xfId="0" applyFont="1" applyBorder="1"/>
    <xf numFmtId="164" fontId="3" fillId="0" borderId="155" xfId="0" applyNumberFormat="1" applyFont="1" applyBorder="1" applyAlignment="1">
      <alignment horizontal="center"/>
    </xf>
    <xf numFmtId="164" fontId="11" fillId="0" borderId="155" xfId="0" applyNumberFormat="1" applyFont="1" applyBorder="1" applyAlignment="1">
      <alignment horizontal="center"/>
    </xf>
    <xf numFmtId="164" fontId="3" fillId="2" borderId="155" xfId="0" applyNumberFormat="1" applyFont="1" applyFill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3" fillId="0" borderId="6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3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115" xfId="0" applyNumberFormat="1" applyBorder="1" applyAlignment="1">
      <alignment horizontal="center"/>
    </xf>
    <xf numFmtId="168" fontId="1" fillId="2" borderId="117" xfId="0" applyNumberFormat="1" applyFon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7" fontId="0" fillId="0" borderId="147" xfId="0" applyNumberForma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" fillId="2" borderId="113" xfId="0" applyFont="1" applyFill="1" applyBorder="1" applyAlignment="1">
      <alignment horizontal="center" wrapText="1"/>
    </xf>
    <xf numFmtId="0" fontId="11" fillId="2" borderId="92" xfId="0" applyFont="1" applyFill="1" applyBorder="1" applyAlignment="1">
      <alignment wrapText="1"/>
    </xf>
    <xf numFmtId="0" fontId="11" fillId="2" borderId="59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11" fillId="2" borderId="93" xfId="0" applyFont="1" applyFill="1" applyBorder="1" applyAlignment="1">
      <alignment wrapText="1"/>
    </xf>
    <xf numFmtId="0" fontId="11" fillId="2" borderId="60" xfId="0" applyFont="1" applyFill="1" applyBorder="1" applyAlignment="1">
      <alignment wrapText="1"/>
    </xf>
    <xf numFmtId="0" fontId="11" fillId="2" borderId="16" xfId="0" applyFont="1" applyFill="1" applyBorder="1" applyAlignment="1">
      <alignment wrapText="1"/>
    </xf>
    <xf numFmtId="0" fontId="1" fillId="2" borderId="157" xfId="0" applyFont="1" applyFill="1" applyBorder="1" applyAlignment="1">
      <alignment wrapText="1"/>
    </xf>
    <xf numFmtId="0" fontId="1" fillId="2" borderId="158" xfId="0" applyFont="1" applyFill="1" applyBorder="1" applyAlignment="1">
      <alignment wrapText="1"/>
    </xf>
    <xf numFmtId="16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3" borderId="4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2" fontId="0" fillId="0" borderId="87" xfId="0" applyNumberFormat="1" applyBorder="1" applyAlignment="1">
      <alignment horizontal="center" vertical="center"/>
    </xf>
    <xf numFmtId="2" fontId="0" fillId="0" borderId="88" xfId="0" applyNumberFormat="1" applyBorder="1" applyAlignment="1">
      <alignment horizontal="center" vertical="center"/>
    </xf>
    <xf numFmtId="2" fontId="0" fillId="0" borderId="89" xfId="0" applyNumberFormat="1" applyBorder="1" applyAlignment="1">
      <alignment horizontal="center" vertical="center"/>
    </xf>
    <xf numFmtId="164" fontId="0" fillId="0" borderId="81" xfId="0" applyNumberFormat="1" applyBorder="1" applyAlignment="1">
      <alignment horizontal="center" vertical="center"/>
    </xf>
    <xf numFmtId="164" fontId="0" fillId="0" borderId="82" xfId="0" applyNumberFormat="1" applyBorder="1" applyAlignment="1">
      <alignment horizontal="center" vertical="center"/>
    </xf>
    <xf numFmtId="164" fontId="0" fillId="0" borderId="84" xfId="0" applyNumberFormat="1" applyBorder="1" applyAlignment="1">
      <alignment horizontal="center" vertical="center"/>
    </xf>
    <xf numFmtId="164" fontId="0" fillId="0" borderId="86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2" fontId="0" fillId="0" borderId="86" xfId="0" applyNumberFormat="1" applyBorder="1" applyAlignment="1">
      <alignment horizontal="center" vertical="center"/>
    </xf>
    <xf numFmtId="2" fontId="0" fillId="0" borderId="82" xfId="0" applyNumberFormat="1" applyBorder="1" applyAlignment="1">
      <alignment horizontal="center" vertical="center"/>
    </xf>
    <xf numFmtId="2" fontId="0" fillId="0" borderId="83" xfId="0" applyNumberFormat="1" applyBorder="1" applyAlignment="1">
      <alignment horizontal="center" vertical="center"/>
    </xf>
    <xf numFmtId="164" fontId="0" fillId="0" borderId="107" xfId="0" applyNumberFormat="1" applyBorder="1" applyAlignment="1">
      <alignment horizontal="center" vertical="center"/>
    </xf>
    <xf numFmtId="164" fontId="0" fillId="0" borderId="108" xfId="0" applyNumberFormat="1" applyBorder="1" applyAlignment="1">
      <alignment horizontal="center" vertical="center"/>
    </xf>
    <xf numFmtId="164" fontId="0" fillId="0" borderId="109" xfId="0" applyNumberForma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164" fontId="0" fillId="4" borderId="69" xfId="0" applyNumberFormat="1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4" borderId="64" xfId="0" applyNumberForma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164" fontId="0" fillId="4" borderId="81" xfId="0" applyNumberFormat="1" applyFill="1" applyBorder="1" applyAlignment="1">
      <alignment horizontal="center" vertical="center"/>
    </xf>
    <xf numFmtId="164" fontId="0" fillId="4" borderId="82" xfId="0" applyNumberFormat="1" applyFill="1" applyBorder="1" applyAlignment="1">
      <alignment horizontal="center" vertical="center"/>
    </xf>
    <xf numFmtId="164" fontId="0" fillId="4" borderId="84" xfId="0" applyNumberFormat="1" applyFill="1" applyBorder="1" applyAlignment="1">
      <alignment horizontal="center" vertical="center"/>
    </xf>
    <xf numFmtId="164" fontId="0" fillId="4" borderId="86" xfId="0" applyNumberFormat="1" applyFill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0" fontId="0" fillId="4" borderId="83" xfId="0" applyFill="1" applyBorder="1" applyAlignment="1">
      <alignment horizontal="center" vertical="center"/>
    </xf>
    <xf numFmtId="164" fontId="0" fillId="4" borderId="48" xfId="0" applyNumberFormat="1" applyFill="1" applyBorder="1" applyAlignment="1">
      <alignment horizontal="center" vertical="center"/>
    </xf>
    <xf numFmtId="0" fontId="0" fillId="4" borderId="108" xfId="0" applyFill="1" applyBorder="1" applyAlignment="1">
      <alignment horizontal="center" vertical="center"/>
    </xf>
    <xf numFmtId="0" fontId="0" fillId="4" borderId="100" xfId="0" applyFill="1" applyBorder="1" applyAlignment="1">
      <alignment horizontal="center" vertical="center"/>
    </xf>
    <xf numFmtId="164" fontId="0" fillId="4" borderId="107" xfId="0" applyNumberFormat="1" applyFill="1" applyBorder="1" applyAlignment="1">
      <alignment horizontal="center" vertical="center"/>
    </xf>
    <xf numFmtId="164" fontId="0" fillId="4" borderId="108" xfId="0" applyNumberFormat="1" applyFill="1" applyBorder="1" applyAlignment="1">
      <alignment horizontal="center" vertical="center"/>
    </xf>
    <xf numFmtId="164" fontId="0" fillId="4" borderId="109" xfId="0" applyNumberFormat="1" applyFill="1" applyBorder="1" applyAlignment="1">
      <alignment horizontal="center" vertical="center"/>
    </xf>
    <xf numFmtId="2" fontId="0" fillId="0" borderId="84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164" fontId="0" fillId="0" borderId="69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03" xfId="0" applyFont="1" applyFill="1" applyBorder="1" applyAlignment="1">
      <alignment horizontal="center" vertical="center"/>
    </xf>
    <xf numFmtId="164" fontId="0" fillId="0" borderId="106" xfId="0" applyNumberFormat="1" applyBorder="1" applyAlignment="1">
      <alignment horizontal="center" vertical="center"/>
    </xf>
    <xf numFmtId="164" fontId="0" fillId="0" borderId="104" xfId="0" applyNumberFormat="1" applyBorder="1" applyAlignment="1">
      <alignment horizontal="center" vertical="center"/>
    </xf>
    <xf numFmtId="164" fontId="0" fillId="0" borderId="105" xfId="0" applyNumberFormat="1" applyBorder="1" applyAlignment="1">
      <alignment horizontal="center" vertical="center"/>
    </xf>
    <xf numFmtId="164" fontId="0" fillId="4" borderId="104" xfId="0" applyNumberFormat="1" applyFill="1" applyBorder="1" applyAlignment="1">
      <alignment horizontal="center" vertical="center"/>
    </xf>
    <xf numFmtId="164" fontId="0" fillId="4" borderId="105" xfId="0" applyNumberFormat="1" applyFill="1" applyBorder="1" applyAlignment="1">
      <alignment horizontal="center" vertical="center"/>
    </xf>
    <xf numFmtId="164" fontId="0" fillId="4" borderId="106" xfId="0" applyNumberFormat="1" applyFill="1" applyBorder="1" applyAlignment="1">
      <alignment horizontal="center" vertical="center"/>
    </xf>
    <xf numFmtId="2" fontId="0" fillId="0" borderId="81" xfId="0" applyNumberForma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113" xfId="0" applyFont="1" applyFill="1" applyBorder="1" applyAlignment="1">
      <alignment horizontal="center" vertical="center" wrapText="1"/>
    </xf>
    <xf numFmtId="0" fontId="1" fillId="5" borderId="114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0" xfId="0" applyFont="1" applyFill="1" applyBorder="1" applyAlignment="1">
      <alignment horizontal="center" vertical="center" wrapText="1"/>
    </xf>
    <xf numFmtId="0" fontId="1" fillId="2" borderId="1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5" fillId="0" borderId="109" xfId="0" applyFont="1" applyBorder="1" applyAlignment="1">
      <alignment horizontal="left" wrapText="1"/>
    </xf>
    <xf numFmtId="0" fontId="9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5" fillId="0" borderId="34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44" xfId="0" applyFont="1" applyBorder="1" applyAlignment="1">
      <alignment horizontal="center" wrapText="1"/>
    </xf>
    <xf numFmtId="0" fontId="5" fillId="0" borderId="145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164" fontId="0" fillId="2" borderId="136" xfId="0" applyNumberFormat="1" applyFill="1" applyBorder="1" applyAlignment="1">
      <alignment horizontal="center"/>
    </xf>
    <xf numFmtId="164" fontId="0" fillId="2" borderId="137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64" fontId="0" fillId="2" borderId="149" xfId="0" applyNumberFormat="1" applyFill="1" applyBorder="1" applyAlignment="1">
      <alignment horizontal="center"/>
    </xf>
    <xf numFmtId="164" fontId="0" fillId="2" borderId="150" xfId="0" applyNumberFormat="1" applyFill="1" applyBorder="1" applyAlignment="1">
      <alignment horizontal="center"/>
    </xf>
    <xf numFmtId="0" fontId="1" fillId="2" borderId="47" xfId="0" applyFont="1" applyFill="1" applyBorder="1" applyAlignment="1">
      <alignment horizontal="center" vertical="center" wrapText="1"/>
    </xf>
    <xf numFmtId="0" fontId="9" fillId="0" borderId="134" xfId="0" applyFont="1" applyBorder="1" applyAlignment="1">
      <alignment horizontal="left" vertical="top" wrapText="1"/>
    </xf>
    <xf numFmtId="164" fontId="1" fillId="2" borderId="34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0" fillId="8" borderId="34" xfId="0" applyFill="1" applyBorder="1" applyAlignment="1">
      <alignment horizontal="center" wrapText="1"/>
    </xf>
    <xf numFmtId="0" fontId="0" fillId="8" borderId="33" xfId="0" applyFill="1" applyBorder="1" applyAlignment="1">
      <alignment horizontal="center" wrapText="1"/>
    </xf>
    <xf numFmtId="0" fontId="0" fillId="8" borderId="24" xfId="0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1" fillId="2" borderId="48" xfId="0" applyFont="1" applyFill="1" applyBorder="1" applyAlignment="1">
      <alignment horizontal="center" wrapText="1"/>
    </xf>
    <xf numFmtId="0" fontId="1" fillId="2" borderId="100" xfId="0" applyFont="1" applyFill="1" applyBorder="1" applyAlignment="1">
      <alignment horizontal="center" wrapText="1"/>
    </xf>
    <xf numFmtId="0" fontId="0" fillId="0" borderId="34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9" fillId="2" borderId="34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164" fontId="0" fillId="0" borderId="161" xfId="0" applyNumberFormat="1" applyBorder="1" applyAlignment="1">
      <alignment horizontal="center"/>
    </xf>
    <xf numFmtId="164" fontId="0" fillId="0" borderId="140" xfId="0" applyNumberFormat="1" applyBorder="1" applyAlignment="1">
      <alignment horizontal="center"/>
    </xf>
    <xf numFmtId="164" fontId="0" fillId="0" borderId="118" xfId="0" applyNumberFormat="1" applyBorder="1" applyAlignment="1">
      <alignment horizontal="center"/>
    </xf>
    <xf numFmtId="164" fontId="0" fillId="0" borderId="96" xfId="0" applyNumberFormat="1" applyBorder="1" applyAlignment="1">
      <alignment horizontal="center"/>
    </xf>
    <xf numFmtId="0" fontId="16" fillId="0" borderId="34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0</xdr:rowOff>
    </xdr:from>
    <xdr:to>
      <xdr:col>11</xdr:col>
      <xdr:colOff>476250</xdr:colOff>
      <xdr:row>57</xdr:row>
      <xdr:rowOff>85725</xdr:rowOff>
    </xdr:to>
    <xdr:cxnSp macro="">
      <xdr:nvCxnSpPr>
        <xdr:cNvPr id="3" name="Raven povezovalnik 2"/>
        <xdr:cNvCxnSpPr/>
      </xdr:nvCxnSpPr>
      <xdr:spPr>
        <a:xfrm flipV="1">
          <a:off x="466725" y="0"/>
          <a:ext cx="15039975" cy="8267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1</xdr:row>
      <xdr:rowOff>152400</xdr:rowOff>
    </xdr:from>
    <xdr:to>
      <xdr:col>28</xdr:col>
      <xdr:colOff>695325</xdr:colOff>
      <xdr:row>20</xdr:row>
      <xdr:rowOff>66675</xdr:rowOff>
    </xdr:to>
    <xdr:cxnSp macro="">
      <xdr:nvCxnSpPr>
        <xdr:cNvPr id="3" name="Raven povezovalnik 2"/>
        <xdr:cNvCxnSpPr/>
      </xdr:nvCxnSpPr>
      <xdr:spPr>
        <a:xfrm flipV="1">
          <a:off x="15611475" y="609600"/>
          <a:ext cx="2838450" cy="6391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69850</xdr:colOff>
      <xdr:row>1</xdr:row>
      <xdr:rowOff>168275</xdr:rowOff>
    </xdr:from>
    <xdr:to>
      <xdr:col>28</xdr:col>
      <xdr:colOff>739775</xdr:colOff>
      <xdr:row>20</xdr:row>
      <xdr:rowOff>130175</xdr:rowOff>
    </xdr:to>
    <xdr:cxnSp macro="">
      <xdr:nvCxnSpPr>
        <xdr:cNvPr id="5" name="Raven povezovalnik 4"/>
        <xdr:cNvCxnSpPr/>
      </xdr:nvCxnSpPr>
      <xdr:spPr>
        <a:xfrm>
          <a:off x="15532100" y="422275"/>
          <a:ext cx="2860675" cy="6438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acije%202013_VOKA_KOM%20ODP_predlog%202_sub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acije%202013_VOKA_KOM%20ODP_predlog%202_zni&#382;ano%20P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acije%202013_VOKA_KOM%20ODP_predlog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ANJE- skupaj"/>
      <sheetName val="DEPONIRANJE- skupaj"/>
      <sheetName val="ZB_Veljavna cena- potrjena"/>
      <sheetName val="ZB_Predr. obdobje plan 2012"/>
      <sheetName val="DEP_Veljavna cena- potrjena"/>
      <sheetName val="ZB_Obračunsko obdobje 2012"/>
      <sheetName val="DEP_Obračunsko obdobje 2012"/>
      <sheetName val="ZB_Predr. obdobje plan 2013"/>
      <sheetName val="PITNA VODA_skupaj"/>
      <sheetName val="ODPADNE VODE_skupaj"/>
      <sheetName val="ČIŠČENJE ODPADNIH VODA"/>
      <sheetName val="VOKA_Veljavna cena_potrjena"/>
      <sheetName val="VOKA_omrežnina velj.cene"/>
      <sheetName val="VOKA_Predrač. obdobje 2012"/>
      <sheetName val="VOKA_Obrač. obdobje 2012"/>
      <sheetName val="VOKA_Omrežnina_obrač.12_primerj"/>
      <sheetName val="VOKA_Predr. obdobje plan 2014"/>
      <sheetName val="VOKA_Omrežnina_predrač.2013"/>
      <sheetName val="VOKA_Omrežnina_predrač.2014_2"/>
      <sheetName val="POKRITJA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2">
          <cell r="AG72">
            <v>0.43321784092427718</v>
          </cell>
          <cell r="AH72">
            <v>0.43588106176789876</v>
          </cell>
          <cell r="AI72">
            <v>0.4328617480159232</v>
          </cell>
          <cell r="AW72">
            <v>0.28974110730242286</v>
          </cell>
          <cell r="AX72">
            <v>0.29871386100925484</v>
          </cell>
          <cell r="BR72">
            <v>0.70669999999999999</v>
          </cell>
        </row>
      </sheetData>
      <sheetData sheetId="17"/>
      <sheetData sheetId="18">
        <row r="12">
          <cell r="P12">
            <v>2.3874280765175477</v>
          </cell>
          <cell r="Q12">
            <v>3.5094837324898331</v>
          </cell>
          <cell r="AD12">
            <v>-0.83739505597014929</v>
          </cell>
          <cell r="AH12">
            <v>-0.82101806239737274</v>
          </cell>
        </row>
        <row r="22">
          <cell r="AS22">
            <v>-2.2305000000000001</v>
          </cell>
        </row>
        <row r="23">
          <cell r="P23">
            <v>2.0541620450606586</v>
          </cell>
          <cell r="Q23">
            <v>2.5634939341421146</v>
          </cell>
          <cell r="R23">
            <v>4.4609800000000002</v>
          </cell>
          <cell r="AD23">
            <v>-0.83739505597014929</v>
          </cell>
        </row>
        <row r="34">
          <cell r="P34">
            <v>2.063210196586736</v>
          </cell>
          <cell r="AD34">
            <v>-0.83739505597014929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ANJE- skupaj"/>
      <sheetName val="DEPONIRANJE- skupaj"/>
      <sheetName val="ZB_Veljavna cena- potrjena"/>
      <sheetName val="ZB_Predr. obdobje plan 2012"/>
      <sheetName val="DEP_Veljavna cena- potrjena"/>
      <sheetName val="ZB_Obračunsko obdobje 2012"/>
      <sheetName val="DEP_Obračunsko obdobje 2012"/>
      <sheetName val="ZB_Predr. obdobje plan 2013"/>
      <sheetName val="PITNA VODA_skupaj"/>
      <sheetName val="ODPADNE VODE_skupaj"/>
      <sheetName val="ČIŠČENJE ODPADNIH VODA"/>
      <sheetName val="VOKA_Veljavna cena_potrjena"/>
      <sheetName val="VOKA_omrežnina velj.cene"/>
      <sheetName val="VOKA_Predrač. obdobje 2012"/>
      <sheetName val="VOKA_Obrač. obdobje 2012"/>
      <sheetName val="VOKA_Omrežnina_obrač.12_primerj"/>
      <sheetName val="VOKA_Predr. obdobje plan 2014"/>
      <sheetName val="VOKA_Omrežnina_predrač.2013"/>
      <sheetName val="VOKA_Omrežnina_predrač.2014_2"/>
      <sheetName val="POKRITJA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2">
          <cell r="AG72">
            <v>0.43321784092427718</v>
          </cell>
          <cell r="AH72">
            <v>0.39809973357361955</v>
          </cell>
          <cell r="AI72">
            <v>0.4328617480159232</v>
          </cell>
          <cell r="AW72">
            <v>0.28974110730242286</v>
          </cell>
          <cell r="AX72">
            <v>0.27280050736952882</v>
          </cell>
          <cell r="BR72">
            <v>0.70669999999999999</v>
          </cell>
        </row>
      </sheetData>
      <sheetData sheetId="17"/>
      <sheetData sheetId="18">
        <row r="12">
          <cell r="P12">
            <v>2.3874280765175477</v>
          </cell>
          <cell r="Q12">
            <v>3.5094837324898331</v>
          </cell>
          <cell r="AD12">
            <v>-0.83739505597014929</v>
          </cell>
          <cell r="AH12">
            <v>-0.82101806239737274</v>
          </cell>
        </row>
        <row r="22">
          <cell r="AS22">
            <v>-2.2305000000000001</v>
          </cell>
        </row>
        <row r="23">
          <cell r="P23">
            <v>2.0541620450606586</v>
          </cell>
          <cell r="Q23">
            <v>2.5634939341421146</v>
          </cell>
          <cell r="R23">
            <v>4.4609800000000002</v>
          </cell>
          <cell r="AD23">
            <v>-0.83739505597014929</v>
          </cell>
        </row>
        <row r="34">
          <cell r="P34">
            <v>2.063210196586736</v>
          </cell>
          <cell r="AD34">
            <v>-0.83739505597014929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ANJE- skupaj"/>
      <sheetName val="DEPONIRANJE- skupaj"/>
      <sheetName val="ZB_Veljavna cena- potrjena"/>
      <sheetName val="ZB_Predr. obdobje plan 2012"/>
      <sheetName val="DEP_Veljavna cena- potrjena"/>
      <sheetName val="ZB_Obračunsko obdobje 2012"/>
      <sheetName val="DEP_Obračunsko obdobje 2012"/>
      <sheetName val="ZB_Predr. obdobje plan 2013"/>
      <sheetName val="PITNA VODA_skupaj"/>
      <sheetName val="ODPADNE VODE_skupaj"/>
      <sheetName val="ČIŠČENJE ODPADNIH VODA"/>
      <sheetName val="VOKA_Veljavna cena_potrjena"/>
      <sheetName val="VOKA_omrežnina velj.cene"/>
      <sheetName val="VOKA_Predrač. obdobje 2012"/>
      <sheetName val="VOKA_Obrač. obdobje 2012"/>
      <sheetName val="VOKA_Omrežnina_obrač.12_primerj"/>
      <sheetName val="VOKA_Predr. obdobje plan 2014"/>
      <sheetName val="VOKA_Omrežnina_predrač.2013"/>
      <sheetName val="VOKA_Omrežnina_predrač.2014_2"/>
      <sheetName val="POKRITJA"/>
      <sheetName val="List1"/>
      <sheetName val="List2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72">
          <cell r="AH72">
            <v>0.3950807002040157</v>
          </cell>
          <cell r="AI72">
            <v>0.39508068389239753</v>
          </cell>
          <cell r="AJ72">
            <v>0.39623648814809898</v>
          </cell>
          <cell r="AX72">
            <v>0.26222610975329474</v>
          </cell>
          <cell r="AY72">
            <v>0.26222612084913155</v>
          </cell>
          <cell r="BS72">
            <v>0.70669999999999999</v>
          </cell>
        </row>
      </sheetData>
      <sheetData sheetId="17" refreshError="1"/>
      <sheetData sheetId="18">
        <row r="12">
          <cell r="P12">
            <v>2.3874280765175477</v>
          </cell>
          <cell r="Q12">
            <v>3.5094837324898331</v>
          </cell>
          <cell r="AD12">
            <v>-0.83739505597014929</v>
          </cell>
          <cell r="AH12">
            <v>-0.82101806239737274</v>
          </cell>
        </row>
        <row r="22">
          <cell r="AS22">
            <v>-2.2305000000000001</v>
          </cell>
        </row>
        <row r="23">
          <cell r="P23">
            <v>2.0541620450606586</v>
          </cell>
          <cell r="Q23">
            <v>2.5634939341421146</v>
          </cell>
          <cell r="R23">
            <v>4.4609800000000002</v>
          </cell>
          <cell r="AD23">
            <v>-0.83739505597014929</v>
          </cell>
        </row>
        <row r="34">
          <cell r="P34">
            <v>2.063210196586736</v>
          </cell>
          <cell r="AD34">
            <v>-0.83739505597014929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17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1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/>
  </sheetViews>
  <sheetFormatPr defaultRowHeight="15.75" x14ac:dyDescent="0.25"/>
  <cols>
    <col min="1" max="1" width="10.7109375" customWidth="1"/>
    <col min="2" max="2" width="17.5703125" customWidth="1"/>
    <col min="3" max="3" width="18.85546875" customWidth="1"/>
    <col min="4" max="4" width="11" hidden="1" customWidth="1"/>
    <col min="5" max="10" width="19.28515625" hidden="1" customWidth="1"/>
    <col min="11" max="11" width="3.85546875" hidden="1" customWidth="1"/>
    <col min="12" max="13" width="15.7109375" hidden="1" customWidth="1"/>
    <col min="14" max="14" width="3.85546875" hidden="1" customWidth="1"/>
    <col min="15" max="15" width="13.28515625" customWidth="1"/>
    <col min="16" max="16" width="13.85546875" customWidth="1"/>
    <col min="17" max="18" width="15" hidden="1" customWidth="1"/>
    <col min="19" max="19" width="15" customWidth="1"/>
    <col min="20" max="20" width="14.140625" customWidth="1"/>
    <col min="21" max="22" width="15" hidden="1" customWidth="1"/>
    <col min="23" max="23" width="1" hidden="1" customWidth="1"/>
    <col min="24" max="24" width="14" customWidth="1"/>
    <col min="25" max="25" width="10.5703125" customWidth="1"/>
    <col min="26" max="26" width="10.85546875" customWidth="1"/>
    <col min="27" max="29" width="14" hidden="1" customWidth="1"/>
    <col min="30" max="30" width="3.85546875" hidden="1" customWidth="1"/>
    <col min="31" max="31" width="11.5703125" customWidth="1"/>
    <col min="32" max="32" width="9.28515625" customWidth="1"/>
    <col min="33" max="33" width="10.5703125" customWidth="1"/>
  </cols>
  <sheetData>
    <row r="1" spans="1:35" ht="21" thickBot="1" x14ac:dyDescent="0.35">
      <c r="A1" s="124" t="s">
        <v>47</v>
      </c>
      <c r="B1" s="125"/>
      <c r="C1" s="125"/>
    </row>
    <row r="2" spans="1:35" ht="16.5" thickTop="1" x14ac:dyDescent="0.25">
      <c r="A2" s="431" t="s">
        <v>48</v>
      </c>
      <c r="B2" s="431"/>
      <c r="C2" s="431"/>
      <c r="D2" s="431"/>
    </row>
    <row r="3" spans="1:35" ht="45.75" customHeight="1" x14ac:dyDescent="0.25">
      <c r="L3" s="446" t="s">
        <v>38</v>
      </c>
      <c r="M3" s="447"/>
      <c r="N3" s="73"/>
      <c r="O3" s="441" t="s">
        <v>55</v>
      </c>
      <c r="P3" s="444"/>
      <c r="Q3" s="444"/>
      <c r="R3" s="448"/>
      <c r="S3" s="441" t="s">
        <v>56</v>
      </c>
      <c r="T3" s="444"/>
      <c r="U3" s="444"/>
      <c r="V3" s="448"/>
      <c r="W3" s="73"/>
      <c r="X3" s="441" t="s">
        <v>57</v>
      </c>
      <c r="Y3" s="444"/>
      <c r="Z3" s="444"/>
      <c r="AA3" s="444"/>
      <c r="AB3" s="444"/>
      <c r="AC3" s="445"/>
      <c r="AD3" s="73"/>
      <c r="AE3" s="441" t="s">
        <v>58</v>
      </c>
      <c r="AF3" s="442"/>
      <c r="AG3" s="443"/>
    </row>
    <row r="4" spans="1:35" ht="32.25" hidden="1" customHeight="1" x14ac:dyDescent="0.25">
      <c r="E4" s="426" t="s">
        <v>49</v>
      </c>
      <c r="F4" s="427"/>
      <c r="G4" s="426" t="s">
        <v>15</v>
      </c>
      <c r="H4" s="427"/>
      <c r="I4" s="51"/>
      <c r="J4" s="1"/>
      <c r="L4" s="46" t="s">
        <v>31</v>
      </c>
      <c r="M4" s="87" t="s">
        <v>32</v>
      </c>
      <c r="O4" s="449" t="s">
        <v>31</v>
      </c>
      <c r="P4" s="450"/>
      <c r="Q4" s="451" t="s">
        <v>32</v>
      </c>
      <c r="R4" s="452"/>
      <c r="S4" s="449" t="s">
        <v>31</v>
      </c>
      <c r="T4" s="450"/>
      <c r="U4" s="451" t="s">
        <v>32</v>
      </c>
      <c r="V4" s="452"/>
      <c r="X4" s="502" t="s">
        <v>31</v>
      </c>
      <c r="Y4" s="502"/>
      <c r="Z4" s="502"/>
      <c r="AA4" s="503" t="s">
        <v>32</v>
      </c>
      <c r="AB4" s="503"/>
      <c r="AC4" s="504"/>
      <c r="AE4" s="449" t="s">
        <v>41</v>
      </c>
      <c r="AF4" s="500"/>
      <c r="AG4" s="450"/>
    </row>
    <row r="5" spans="1:35" ht="63.75" thickBot="1" x14ac:dyDescent="0.3">
      <c r="A5" s="38" t="s">
        <v>0</v>
      </c>
      <c r="B5" s="39" t="s">
        <v>1</v>
      </c>
      <c r="C5" s="40" t="s">
        <v>2</v>
      </c>
      <c r="D5" s="74" t="s">
        <v>3</v>
      </c>
      <c r="E5" s="83" t="s">
        <v>4</v>
      </c>
      <c r="F5" s="84" t="s">
        <v>14</v>
      </c>
      <c r="G5" s="83" t="s">
        <v>4</v>
      </c>
      <c r="H5" s="85" t="s">
        <v>14</v>
      </c>
      <c r="I5" s="50" t="s">
        <v>33</v>
      </c>
      <c r="J5" s="47" t="s">
        <v>50</v>
      </c>
      <c r="L5" s="49" t="s">
        <v>29</v>
      </c>
      <c r="M5" s="88" t="s">
        <v>29</v>
      </c>
      <c r="O5" s="52" t="s">
        <v>54</v>
      </c>
      <c r="P5" s="50" t="s">
        <v>59</v>
      </c>
      <c r="Q5" s="94" t="s">
        <v>34</v>
      </c>
      <c r="R5" s="88" t="s">
        <v>35</v>
      </c>
      <c r="S5" s="52" t="s">
        <v>54</v>
      </c>
      <c r="T5" s="50" t="s">
        <v>59</v>
      </c>
      <c r="U5" s="94" t="s">
        <v>36</v>
      </c>
      <c r="V5" s="88" t="s">
        <v>37</v>
      </c>
      <c r="X5" s="106" t="s">
        <v>39</v>
      </c>
      <c r="Y5" s="107" t="s">
        <v>40</v>
      </c>
      <c r="Z5" s="108" t="s">
        <v>46</v>
      </c>
      <c r="AA5" s="109" t="s">
        <v>39</v>
      </c>
      <c r="AB5" s="110" t="s">
        <v>40</v>
      </c>
      <c r="AC5" s="118" t="s">
        <v>46</v>
      </c>
      <c r="AE5" s="52" t="s">
        <v>52</v>
      </c>
      <c r="AF5" s="50" t="s">
        <v>51</v>
      </c>
      <c r="AG5" s="50" t="s">
        <v>53</v>
      </c>
    </row>
    <row r="6" spans="1:35" ht="38.25" customHeight="1" x14ac:dyDescent="0.25">
      <c r="A6" s="463" t="s">
        <v>5</v>
      </c>
      <c r="B6" s="428" t="s">
        <v>6</v>
      </c>
      <c r="C6" s="37" t="s">
        <v>30</v>
      </c>
      <c r="D6" s="75" t="s">
        <v>7</v>
      </c>
      <c r="E6" s="80">
        <v>3.7061999999999999</v>
      </c>
      <c r="F6" s="68">
        <f>E6*1.095</f>
        <v>4.0582890000000003</v>
      </c>
      <c r="G6" s="58">
        <v>2.1254</v>
      </c>
      <c r="H6" s="68">
        <f>G6*1.095</f>
        <v>2.3273129999999997</v>
      </c>
      <c r="I6" s="63">
        <f>H6-F6</f>
        <v>-1.7309760000000005</v>
      </c>
      <c r="J6" s="112">
        <f>G6/E6</f>
        <v>0.57347148022233019</v>
      </c>
      <c r="L6" s="48">
        <v>1</v>
      </c>
      <c r="M6" s="89">
        <f>L6*12</f>
        <v>12</v>
      </c>
      <c r="O6" s="53">
        <f t="shared" ref="O6:O20" si="0">L6*F6</f>
        <v>4.0582890000000003</v>
      </c>
      <c r="P6" s="435">
        <f>SUM(O6:O8)</f>
        <v>11.130236999999999</v>
      </c>
      <c r="Q6" s="95">
        <f>O6*12</f>
        <v>48.699468000000003</v>
      </c>
      <c r="R6" s="478">
        <f>SUM(Q6:Q8)</f>
        <v>133.56284399999998</v>
      </c>
      <c r="S6" s="53">
        <f t="shared" ref="S6:S20" si="1">L6*H6</f>
        <v>2.3273129999999997</v>
      </c>
      <c r="T6" s="435">
        <f>SUM(S6:S8)</f>
        <v>13.875402000000001</v>
      </c>
      <c r="U6" s="95">
        <f>S6*12</f>
        <v>27.927755999999995</v>
      </c>
      <c r="V6" s="478">
        <f>SUM(U6:U8)</f>
        <v>166.50482400000001</v>
      </c>
      <c r="X6" s="105">
        <f>S6-O6</f>
        <v>-1.7309760000000005</v>
      </c>
      <c r="Y6" s="456">
        <f>T6-P6</f>
        <v>2.7451650000000019</v>
      </c>
      <c r="Z6" s="505">
        <f>Y6+Y9</f>
        <v>4.3083870000000015</v>
      </c>
      <c r="AA6" s="103">
        <f>U6-Q6</f>
        <v>-20.771712000000008</v>
      </c>
      <c r="AB6" s="487">
        <f>V6-R6</f>
        <v>32.941980000000029</v>
      </c>
      <c r="AC6" s="508">
        <f>AB6+AB9</f>
        <v>51.70064400000004</v>
      </c>
      <c r="AE6" s="126">
        <f>S6/O6</f>
        <v>0.57347148022233008</v>
      </c>
      <c r="AF6" s="454">
        <f>T6/P6</f>
        <v>1.2466403006512801</v>
      </c>
      <c r="AG6" s="433">
        <f>(T6+T9)/(P6+P9)</f>
        <v>1.1495335851054189</v>
      </c>
    </row>
    <row r="7" spans="1:35" ht="38.25" customHeight="1" x14ac:dyDescent="0.25">
      <c r="A7" s="464"/>
      <c r="B7" s="429"/>
      <c r="C7" s="3" t="s">
        <v>8</v>
      </c>
      <c r="D7" s="76" t="s">
        <v>9</v>
      </c>
      <c r="E7" s="12">
        <v>0.29499999999999998</v>
      </c>
      <c r="F7" s="69">
        <f t="shared" ref="F7:F10" si="2">E7*1.095</f>
        <v>0.32302499999999995</v>
      </c>
      <c r="G7" s="59">
        <v>0.52210000000000001</v>
      </c>
      <c r="H7" s="69">
        <f t="shared" ref="H7:H20" si="3">G7*1.095</f>
        <v>0.57169950000000003</v>
      </c>
      <c r="I7" s="64">
        <f t="shared" ref="I7:I20" si="4">H7-F7</f>
        <v>0.24867450000000008</v>
      </c>
      <c r="J7" s="113">
        <f t="shared" ref="J7:J20" si="5">G7/E7</f>
        <v>1.7698305084745765</v>
      </c>
      <c r="L7" s="42">
        <f>4.5*4</f>
        <v>18</v>
      </c>
      <c r="M7" s="90">
        <f t="shared" ref="M7:M20" si="6">L7*12</f>
        <v>216</v>
      </c>
      <c r="O7" s="54">
        <f t="shared" si="0"/>
        <v>5.814449999999999</v>
      </c>
      <c r="P7" s="436"/>
      <c r="Q7" s="96">
        <f t="shared" ref="Q7:Q20" si="7">O7*12</f>
        <v>69.773399999999981</v>
      </c>
      <c r="R7" s="479"/>
      <c r="S7" s="54">
        <f t="shared" si="1"/>
        <v>10.290591000000001</v>
      </c>
      <c r="T7" s="436"/>
      <c r="U7" s="96">
        <f t="shared" ref="U7:U20" si="8">S7*12</f>
        <v>123.48709200000002</v>
      </c>
      <c r="V7" s="479"/>
      <c r="X7" s="54">
        <f t="shared" ref="X7:X20" si="9">S7-O7</f>
        <v>4.4761410000000019</v>
      </c>
      <c r="Y7" s="457"/>
      <c r="Z7" s="506"/>
      <c r="AA7" s="101">
        <f t="shared" ref="AA7:AA20" si="10">U7-Q7</f>
        <v>53.713692000000037</v>
      </c>
      <c r="AB7" s="488"/>
      <c r="AC7" s="508"/>
      <c r="AE7" s="127">
        <f t="shared" ref="AE7:AE20" si="11">S7/O7</f>
        <v>1.7698305084745767</v>
      </c>
      <c r="AF7" s="454"/>
      <c r="AG7" s="433"/>
    </row>
    <row r="8" spans="1:35" ht="38.25" customHeight="1" x14ac:dyDescent="0.25">
      <c r="A8" s="464"/>
      <c r="B8" s="430"/>
      <c r="C8" s="4" t="s">
        <v>10</v>
      </c>
      <c r="D8" s="77" t="s">
        <v>9</v>
      </c>
      <c r="E8" s="9">
        <v>6.3799999999999996E-2</v>
      </c>
      <c r="F8" s="70">
        <f t="shared" si="2"/>
        <v>6.9860999999999993E-2</v>
      </c>
      <c r="G8" s="60">
        <v>6.3799999999999996E-2</v>
      </c>
      <c r="H8" s="70">
        <f t="shared" si="3"/>
        <v>6.9860999999999993E-2</v>
      </c>
      <c r="I8" s="65">
        <f t="shared" si="4"/>
        <v>0</v>
      </c>
      <c r="J8" s="114">
        <f t="shared" si="5"/>
        <v>1</v>
      </c>
      <c r="L8" s="43">
        <f>4.5*4</f>
        <v>18</v>
      </c>
      <c r="M8" s="91">
        <f t="shared" si="6"/>
        <v>216</v>
      </c>
      <c r="O8" s="55">
        <f t="shared" si="0"/>
        <v>1.2574979999999998</v>
      </c>
      <c r="P8" s="437"/>
      <c r="Q8" s="97">
        <f t="shared" si="7"/>
        <v>15.089975999999997</v>
      </c>
      <c r="R8" s="480"/>
      <c r="S8" s="55">
        <f t="shared" si="1"/>
        <v>1.2574979999999998</v>
      </c>
      <c r="T8" s="437"/>
      <c r="U8" s="97">
        <f t="shared" si="8"/>
        <v>15.089975999999997</v>
      </c>
      <c r="V8" s="480"/>
      <c r="X8" s="55">
        <f t="shared" si="9"/>
        <v>0</v>
      </c>
      <c r="Y8" s="458"/>
      <c r="Z8" s="506"/>
      <c r="AA8" s="102">
        <f t="shared" si="10"/>
        <v>0</v>
      </c>
      <c r="AB8" s="489"/>
      <c r="AC8" s="508"/>
      <c r="AE8" s="128">
        <f t="shared" si="11"/>
        <v>1</v>
      </c>
      <c r="AF8" s="490"/>
      <c r="AG8" s="433"/>
      <c r="AI8" s="2"/>
    </row>
    <row r="9" spans="1:35" ht="38.25" customHeight="1" x14ac:dyDescent="0.25">
      <c r="A9" s="464"/>
      <c r="B9" s="466" t="s">
        <v>11</v>
      </c>
      <c r="C9" s="34" t="s">
        <v>30</v>
      </c>
      <c r="D9" s="78" t="s">
        <v>7</v>
      </c>
      <c r="E9" s="81">
        <v>3.6331000000000002</v>
      </c>
      <c r="F9" s="71">
        <f t="shared" si="2"/>
        <v>3.9782445000000002</v>
      </c>
      <c r="G9" s="61">
        <v>3.5072999999999999</v>
      </c>
      <c r="H9" s="71">
        <f t="shared" si="3"/>
        <v>3.8404934999999996</v>
      </c>
      <c r="I9" s="66">
        <f t="shared" si="4"/>
        <v>-0.13775100000000062</v>
      </c>
      <c r="J9" s="115">
        <f t="shared" si="5"/>
        <v>0.96537392309597858</v>
      </c>
      <c r="L9" s="44">
        <v>1</v>
      </c>
      <c r="M9" s="89">
        <f t="shared" si="6"/>
        <v>12</v>
      </c>
      <c r="O9" s="56">
        <f t="shared" si="0"/>
        <v>3.9782445000000002</v>
      </c>
      <c r="P9" s="438">
        <f>SUM(O9:O11)</f>
        <v>17.681932499999998</v>
      </c>
      <c r="Q9" s="98">
        <f t="shared" si="7"/>
        <v>47.738934</v>
      </c>
      <c r="R9" s="481">
        <f>SUM(Q9:Q11)</f>
        <v>212.18318999999997</v>
      </c>
      <c r="S9" s="56">
        <f t="shared" si="1"/>
        <v>3.8404934999999996</v>
      </c>
      <c r="T9" s="438">
        <f>SUM(S9:S11)</f>
        <v>19.245154499999998</v>
      </c>
      <c r="U9" s="98">
        <f t="shared" si="8"/>
        <v>46.085921999999997</v>
      </c>
      <c r="V9" s="481">
        <f>SUM(U9:U11)</f>
        <v>230.94185399999998</v>
      </c>
      <c r="X9" s="56">
        <f t="shared" si="9"/>
        <v>-0.13775100000000062</v>
      </c>
      <c r="Y9" s="491">
        <f t="shared" ref="Y9" si="12">T9-P9</f>
        <v>1.5632219999999997</v>
      </c>
      <c r="Z9" s="506"/>
      <c r="AA9" s="103">
        <f t="shared" si="10"/>
        <v>-1.6530120000000039</v>
      </c>
      <c r="AB9" s="484">
        <f t="shared" ref="AB9" si="13">V9-R9</f>
        <v>18.75866400000001</v>
      </c>
      <c r="AC9" s="508"/>
      <c r="AE9" s="129">
        <f t="shared" si="11"/>
        <v>0.96537392309597847</v>
      </c>
      <c r="AF9" s="453">
        <f t="shared" ref="AF9" si="14">T9/P9</f>
        <v>1.0884078705763638</v>
      </c>
      <c r="AG9" s="433"/>
    </row>
    <row r="10" spans="1:35" ht="38.25" customHeight="1" x14ac:dyDescent="0.25">
      <c r="A10" s="464"/>
      <c r="B10" s="467"/>
      <c r="C10" s="3" t="s">
        <v>8</v>
      </c>
      <c r="D10" s="76" t="s">
        <v>9</v>
      </c>
      <c r="E10" s="12">
        <v>0.21279999999999999</v>
      </c>
      <c r="F10" s="69">
        <f t="shared" si="2"/>
        <v>0.23301599999999997</v>
      </c>
      <c r="G10" s="59">
        <v>0.29909999999999998</v>
      </c>
      <c r="H10" s="69">
        <f t="shared" si="3"/>
        <v>0.32751449999999999</v>
      </c>
      <c r="I10" s="64">
        <f t="shared" si="4"/>
        <v>9.4498500000000013E-2</v>
      </c>
      <c r="J10" s="113">
        <f t="shared" si="5"/>
        <v>1.4055451127819549</v>
      </c>
      <c r="L10" s="42">
        <f>4.5*4</f>
        <v>18</v>
      </c>
      <c r="M10" s="90">
        <f t="shared" si="6"/>
        <v>216</v>
      </c>
      <c r="O10" s="54">
        <f t="shared" si="0"/>
        <v>4.1942879999999994</v>
      </c>
      <c r="P10" s="439"/>
      <c r="Q10" s="96">
        <f t="shared" si="7"/>
        <v>50.331455999999989</v>
      </c>
      <c r="R10" s="482"/>
      <c r="S10" s="54">
        <f t="shared" si="1"/>
        <v>5.8952609999999996</v>
      </c>
      <c r="T10" s="439"/>
      <c r="U10" s="96">
        <f t="shared" si="8"/>
        <v>70.743132000000003</v>
      </c>
      <c r="V10" s="482"/>
      <c r="X10" s="54">
        <f t="shared" si="9"/>
        <v>1.7009730000000003</v>
      </c>
      <c r="Y10" s="492"/>
      <c r="Z10" s="506"/>
      <c r="AA10" s="101">
        <f t="shared" si="10"/>
        <v>20.411676000000014</v>
      </c>
      <c r="AB10" s="485"/>
      <c r="AC10" s="508"/>
      <c r="AE10" s="127">
        <f t="shared" si="11"/>
        <v>1.4055451127819549</v>
      </c>
      <c r="AF10" s="454"/>
      <c r="AG10" s="433"/>
    </row>
    <row r="11" spans="1:35" ht="38.25" customHeight="1" thickBot="1" x14ac:dyDescent="0.3">
      <c r="A11" s="465"/>
      <c r="B11" s="468"/>
      <c r="C11" s="35" t="s">
        <v>42</v>
      </c>
      <c r="D11" s="79" t="s">
        <v>9</v>
      </c>
      <c r="E11" s="82">
        <v>0.52829999999999999</v>
      </c>
      <c r="F11" s="72">
        <f>E11*1</f>
        <v>0.52829999999999999</v>
      </c>
      <c r="G11" s="62">
        <v>0.52829999999999999</v>
      </c>
      <c r="H11" s="72">
        <f>G11*1</f>
        <v>0.52829999999999999</v>
      </c>
      <c r="I11" s="67">
        <f t="shared" si="4"/>
        <v>0</v>
      </c>
      <c r="J11" s="116">
        <f t="shared" si="5"/>
        <v>1</v>
      </c>
      <c r="L11" s="45">
        <f>4.5*4</f>
        <v>18</v>
      </c>
      <c r="M11" s="92">
        <f t="shared" si="6"/>
        <v>216</v>
      </c>
      <c r="O11" s="57">
        <f t="shared" si="0"/>
        <v>9.5093999999999994</v>
      </c>
      <c r="P11" s="440"/>
      <c r="Q11" s="99">
        <f t="shared" si="7"/>
        <v>114.11279999999999</v>
      </c>
      <c r="R11" s="483"/>
      <c r="S11" s="57">
        <f t="shared" si="1"/>
        <v>9.5093999999999994</v>
      </c>
      <c r="T11" s="440"/>
      <c r="U11" s="99">
        <f t="shared" si="8"/>
        <v>114.11279999999999</v>
      </c>
      <c r="V11" s="483"/>
      <c r="X11" s="57">
        <f t="shared" si="9"/>
        <v>0</v>
      </c>
      <c r="Y11" s="493"/>
      <c r="Z11" s="507"/>
      <c r="AA11" s="104">
        <f t="shared" si="10"/>
        <v>0</v>
      </c>
      <c r="AB11" s="486"/>
      <c r="AC11" s="509"/>
      <c r="AE11" s="130">
        <f t="shared" si="11"/>
        <v>1</v>
      </c>
      <c r="AF11" s="455"/>
      <c r="AG11" s="434"/>
    </row>
    <row r="12" spans="1:35" ht="38.25" customHeight="1" x14ac:dyDescent="0.25">
      <c r="A12" s="459" t="s">
        <v>12</v>
      </c>
      <c r="B12" s="428" t="s">
        <v>6</v>
      </c>
      <c r="C12" s="37" t="s">
        <v>30</v>
      </c>
      <c r="D12" s="75" t="s">
        <v>7</v>
      </c>
      <c r="E12" s="80">
        <v>3.2275</v>
      </c>
      <c r="F12" s="68">
        <f t="shared" ref="F12:F20" si="15">E12*1.095</f>
        <v>3.5341125</v>
      </c>
      <c r="G12" s="58">
        <v>1.7578</v>
      </c>
      <c r="H12" s="68">
        <f t="shared" si="3"/>
        <v>1.9247909999999999</v>
      </c>
      <c r="I12" s="63">
        <f t="shared" si="4"/>
        <v>-1.6093215000000001</v>
      </c>
      <c r="J12" s="112">
        <f t="shared" si="5"/>
        <v>0.54463206816421383</v>
      </c>
      <c r="L12" s="41">
        <v>1</v>
      </c>
      <c r="M12" s="93">
        <f t="shared" si="6"/>
        <v>12</v>
      </c>
      <c r="O12" s="53">
        <f t="shared" si="0"/>
        <v>3.5341125</v>
      </c>
      <c r="P12" s="435">
        <f>SUM(O12:O14)</f>
        <v>9.9595725000000002</v>
      </c>
      <c r="Q12" s="95">
        <f t="shared" si="7"/>
        <v>42.409350000000003</v>
      </c>
      <c r="R12" s="478">
        <f>SUM(Q12:Q14)</f>
        <v>119.51487</v>
      </c>
      <c r="S12" s="53">
        <f t="shared" si="1"/>
        <v>1.9247909999999999</v>
      </c>
      <c r="T12" s="435">
        <f>SUM(S12:S14)</f>
        <v>13.626618000000002</v>
      </c>
      <c r="U12" s="95">
        <f t="shared" si="8"/>
        <v>23.097491999999999</v>
      </c>
      <c r="V12" s="478">
        <f>SUM(U12:U14)</f>
        <v>163.51941600000001</v>
      </c>
      <c r="X12" s="53">
        <f t="shared" si="9"/>
        <v>-1.6093215000000001</v>
      </c>
      <c r="Y12" s="456">
        <f t="shared" ref="Y12" si="16">T12-P12</f>
        <v>3.6670455000000022</v>
      </c>
      <c r="Z12" s="505">
        <f>Y12+Y15</f>
        <v>4.7909535000000023</v>
      </c>
      <c r="AA12" s="100">
        <f t="shared" si="10"/>
        <v>-19.311858000000004</v>
      </c>
      <c r="AB12" s="487">
        <f t="shared" ref="AB12" si="17">V12-R12</f>
        <v>44.004546000000005</v>
      </c>
      <c r="AC12" s="510">
        <f>AB12+AB15</f>
        <v>57.491442000000006</v>
      </c>
      <c r="AE12" s="131">
        <f t="shared" si="11"/>
        <v>0.54463206816421372</v>
      </c>
      <c r="AF12" s="511">
        <f t="shared" ref="AF12" si="18">T12/P12</f>
        <v>1.368193062503436</v>
      </c>
      <c r="AG12" s="432">
        <f>(T12+T15)/(P12+P15)</f>
        <v>1.1780011117096554</v>
      </c>
    </row>
    <row r="13" spans="1:35" ht="38.25" customHeight="1" x14ac:dyDescent="0.25">
      <c r="A13" s="460"/>
      <c r="B13" s="429"/>
      <c r="C13" s="3" t="s">
        <v>8</v>
      </c>
      <c r="D13" s="76" t="s">
        <v>9</v>
      </c>
      <c r="E13" s="12">
        <v>0.26219999999999999</v>
      </c>
      <c r="F13" s="69">
        <f t="shared" si="15"/>
        <v>0.287109</v>
      </c>
      <c r="G13" s="59">
        <v>0.52990000000000004</v>
      </c>
      <c r="H13" s="69">
        <f t="shared" si="3"/>
        <v>0.58024050000000005</v>
      </c>
      <c r="I13" s="64">
        <f t="shared" si="4"/>
        <v>0.29313150000000004</v>
      </c>
      <c r="J13" s="113">
        <f t="shared" si="5"/>
        <v>2.0209763539282992</v>
      </c>
      <c r="L13" s="42">
        <f>4.5*4</f>
        <v>18</v>
      </c>
      <c r="M13" s="90">
        <f t="shared" si="6"/>
        <v>216</v>
      </c>
      <c r="O13" s="54">
        <f t="shared" si="0"/>
        <v>5.1679620000000002</v>
      </c>
      <c r="P13" s="436"/>
      <c r="Q13" s="96">
        <f t="shared" si="7"/>
        <v>62.015544000000006</v>
      </c>
      <c r="R13" s="479"/>
      <c r="S13" s="54">
        <f t="shared" si="1"/>
        <v>10.444329000000002</v>
      </c>
      <c r="T13" s="436"/>
      <c r="U13" s="96">
        <f t="shared" si="8"/>
        <v>125.33194800000001</v>
      </c>
      <c r="V13" s="479"/>
      <c r="X13" s="54">
        <f t="shared" si="9"/>
        <v>5.2763670000000014</v>
      </c>
      <c r="Y13" s="457"/>
      <c r="Z13" s="506"/>
      <c r="AA13" s="101">
        <f t="shared" si="10"/>
        <v>63.316404000000006</v>
      </c>
      <c r="AB13" s="488"/>
      <c r="AC13" s="508"/>
      <c r="AE13" s="127">
        <f t="shared" si="11"/>
        <v>2.0209763539282992</v>
      </c>
      <c r="AF13" s="454"/>
      <c r="AG13" s="433"/>
    </row>
    <row r="14" spans="1:35" ht="38.25" customHeight="1" x14ac:dyDescent="0.25">
      <c r="A14" s="460"/>
      <c r="B14" s="430"/>
      <c r="C14" s="4" t="s">
        <v>10</v>
      </c>
      <c r="D14" s="77" t="s">
        <v>9</v>
      </c>
      <c r="E14" s="9">
        <v>6.3799999999999996E-2</v>
      </c>
      <c r="F14" s="70">
        <f t="shared" si="15"/>
        <v>6.9860999999999993E-2</v>
      </c>
      <c r="G14" s="60">
        <v>6.3799999999999996E-2</v>
      </c>
      <c r="H14" s="70">
        <f t="shared" si="3"/>
        <v>6.9860999999999993E-2</v>
      </c>
      <c r="I14" s="65">
        <f t="shared" si="4"/>
        <v>0</v>
      </c>
      <c r="J14" s="114">
        <f t="shared" si="5"/>
        <v>1</v>
      </c>
      <c r="L14" s="43">
        <f>4.5*4</f>
        <v>18</v>
      </c>
      <c r="M14" s="91">
        <f t="shared" si="6"/>
        <v>216</v>
      </c>
      <c r="O14" s="55">
        <f t="shared" si="0"/>
        <v>1.2574979999999998</v>
      </c>
      <c r="P14" s="437"/>
      <c r="Q14" s="97">
        <f t="shared" si="7"/>
        <v>15.089975999999997</v>
      </c>
      <c r="R14" s="480"/>
      <c r="S14" s="55">
        <f t="shared" si="1"/>
        <v>1.2574979999999998</v>
      </c>
      <c r="T14" s="437"/>
      <c r="U14" s="97">
        <f t="shared" si="8"/>
        <v>15.089975999999997</v>
      </c>
      <c r="V14" s="480"/>
      <c r="X14" s="55">
        <f t="shared" si="9"/>
        <v>0</v>
      </c>
      <c r="Y14" s="458"/>
      <c r="Z14" s="506"/>
      <c r="AA14" s="102">
        <f t="shared" si="10"/>
        <v>0</v>
      </c>
      <c r="AB14" s="489"/>
      <c r="AC14" s="508"/>
      <c r="AE14" s="128">
        <f t="shared" si="11"/>
        <v>1</v>
      </c>
      <c r="AF14" s="490"/>
      <c r="AG14" s="433"/>
      <c r="AI14" s="2"/>
    </row>
    <row r="15" spans="1:35" ht="38.25" customHeight="1" x14ac:dyDescent="0.25">
      <c r="A15" s="460"/>
      <c r="B15" s="466" t="s">
        <v>11</v>
      </c>
      <c r="C15" s="34" t="s">
        <v>30</v>
      </c>
      <c r="D15" s="78" t="s">
        <v>7</v>
      </c>
      <c r="E15" s="81">
        <v>2.9375</v>
      </c>
      <c r="F15" s="71">
        <f t="shared" si="15"/>
        <v>3.2165624999999998</v>
      </c>
      <c r="G15" s="61">
        <v>2.5598999999999998</v>
      </c>
      <c r="H15" s="71">
        <f t="shared" si="3"/>
        <v>2.8030904999999997</v>
      </c>
      <c r="I15" s="66">
        <f t="shared" si="4"/>
        <v>-0.41347200000000006</v>
      </c>
      <c r="J15" s="115">
        <f t="shared" si="5"/>
        <v>0.87145531914893615</v>
      </c>
      <c r="L15" s="44">
        <v>1</v>
      </c>
      <c r="M15" s="89">
        <f t="shared" si="6"/>
        <v>12</v>
      </c>
      <c r="O15" s="56">
        <f t="shared" si="0"/>
        <v>3.2165624999999998</v>
      </c>
      <c r="P15" s="438">
        <f>SUM(O15:O17)</f>
        <v>16.955728499999999</v>
      </c>
      <c r="Q15" s="98">
        <f t="shared" si="7"/>
        <v>38.598749999999995</v>
      </c>
      <c r="R15" s="481">
        <f>SUM(Q15:Q17)</f>
        <v>203.46874199999999</v>
      </c>
      <c r="S15" s="56">
        <f t="shared" si="1"/>
        <v>2.8030904999999997</v>
      </c>
      <c r="T15" s="438">
        <f>SUM(S15:S17)</f>
        <v>18.079636499999999</v>
      </c>
      <c r="U15" s="98">
        <f t="shared" si="8"/>
        <v>33.637085999999996</v>
      </c>
      <c r="V15" s="481">
        <f>SUM(U15:U17)</f>
        <v>216.95563799999999</v>
      </c>
      <c r="X15" s="56">
        <f t="shared" si="9"/>
        <v>-0.41347200000000006</v>
      </c>
      <c r="Y15" s="491">
        <f t="shared" ref="Y15" si="19">T15-P15</f>
        <v>1.1239080000000001</v>
      </c>
      <c r="Z15" s="506"/>
      <c r="AA15" s="103">
        <f t="shared" si="10"/>
        <v>-4.961663999999999</v>
      </c>
      <c r="AB15" s="484">
        <f t="shared" ref="AB15" si="20">V15-R15</f>
        <v>13.486896000000002</v>
      </c>
      <c r="AC15" s="508"/>
      <c r="AE15" s="129">
        <f t="shared" si="11"/>
        <v>0.87145531914893615</v>
      </c>
      <c r="AF15" s="453">
        <f t="shared" ref="AF15" si="21">T15/P15</f>
        <v>1.0662848547026451</v>
      </c>
      <c r="AG15" s="433"/>
    </row>
    <row r="16" spans="1:35" ht="38.25" customHeight="1" x14ac:dyDescent="0.25">
      <c r="A16" s="460"/>
      <c r="B16" s="467"/>
      <c r="C16" s="3" t="s">
        <v>8</v>
      </c>
      <c r="D16" s="76" t="s">
        <v>9</v>
      </c>
      <c r="E16" s="12">
        <v>0.21460000000000001</v>
      </c>
      <c r="F16" s="69">
        <f t="shared" si="15"/>
        <v>0.234987</v>
      </c>
      <c r="G16" s="59">
        <v>0.29260000000000003</v>
      </c>
      <c r="H16" s="69">
        <f t="shared" si="3"/>
        <v>0.32039700000000004</v>
      </c>
      <c r="I16" s="64">
        <f t="shared" si="4"/>
        <v>8.5410000000000041E-2</v>
      </c>
      <c r="J16" s="113">
        <f t="shared" si="5"/>
        <v>1.3634669151910532</v>
      </c>
      <c r="L16" s="42">
        <f>4.5*4</f>
        <v>18</v>
      </c>
      <c r="M16" s="90">
        <f t="shared" si="6"/>
        <v>216</v>
      </c>
      <c r="O16" s="54">
        <f t="shared" si="0"/>
        <v>4.2297659999999997</v>
      </c>
      <c r="P16" s="439"/>
      <c r="Q16" s="96">
        <f t="shared" si="7"/>
        <v>50.757191999999996</v>
      </c>
      <c r="R16" s="482"/>
      <c r="S16" s="54">
        <f t="shared" si="1"/>
        <v>5.7671460000000003</v>
      </c>
      <c r="T16" s="439"/>
      <c r="U16" s="96">
        <f t="shared" si="8"/>
        <v>69.205752000000004</v>
      </c>
      <c r="V16" s="482"/>
      <c r="X16" s="54">
        <f t="shared" si="9"/>
        <v>1.5373800000000006</v>
      </c>
      <c r="Y16" s="492"/>
      <c r="Z16" s="506"/>
      <c r="AA16" s="101">
        <f t="shared" si="10"/>
        <v>18.448560000000008</v>
      </c>
      <c r="AB16" s="485"/>
      <c r="AC16" s="508"/>
      <c r="AE16" s="127">
        <f t="shared" si="11"/>
        <v>1.3634669151910532</v>
      </c>
      <c r="AF16" s="454"/>
      <c r="AG16" s="433"/>
    </row>
    <row r="17" spans="1:35" ht="38.25" customHeight="1" thickBot="1" x14ac:dyDescent="0.3">
      <c r="A17" s="461"/>
      <c r="B17" s="468"/>
      <c r="C17" s="35" t="s">
        <v>43</v>
      </c>
      <c r="D17" s="79" t="s">
        <v>9</v>
      </c>
      <c r="E17" s="82">
        <v>0.52829999999999999</v>
      </c>
      <c r="F17" s="72">
        <f>E17*1</f>
        <v>0.52829999999999999</v>
      </c>
      <c r="G17" s="62">
        <v>0.52829999999999999</v>
      </c>
      <c r="H17" s="72">
        <f>G17*1</f>
        <v>0.52829999999999999</v>
      </c>
      <c r="I17" s="67">
        <f t="shared" si="4"/>
        <v>0</v>
      </c>
      <c r="J17" s="116">
        <f t="shared" si="5"/>
        <v>1</v>
      </c>
      <c r="L17" s="45">
        <f>4.5*4</f>
        <v>18</v>
      </c>
      <c r="M17" s="92">
        <f t="shared" si="6"/>
        <v>216</v>
      </c>
      <c r="O17" s="57">
        <f t="shared" si="0"/>
        <v>9.5093999999999994</v>
      </c>
      <c r="P17" s="440"/>
      <c r="Q17" s="99">
        <f t="shared" si="7"/>
        <v>114.11279999999999</v>
      </c>
      <c r="R17" s="483"/>
      <c r="S17" s="57">
        <f t="shared" si="1"/>
        <v>9.5093999999999994</v>
      </c>
      <c r="T17" s="440"/>
      <c r="U17" s="99">
        <f t="shared" si="8"/>
        <v>114.11279999999999</v>
      </c>
      <c r="V17" s="483"/>
      <c r="X17" s="57">
        <f t="shared" si="9"/>
        <v>0</v>
      </c>
      <c r="Y17" s="493"/>
      <c r="Z17" s="507"/>
      <c r="AA17" s="104">
        <f t="shared" si="10"/>
        <v>0</v>
      </c>
      <c r="AB17" s="486"/>
      <c r="AC17" s="509"/>
      <c r="AE17" s="130">
        <f t="shared" si="11"/>
        <v>1</v>
      </c>
      <c r="AF17" s="455"/>
      <c r="AG17" s="434"/>
    </row>
    <row r="18" spans="1:35" ht="38.25" customHeight="1" x14ac:dyDescent="0.25">
      <c r="A18" s="459" t="s">
        <v>13</v>
      </c>
      <c r="B18" s="428" t="s">
        <v>6</v>
      </c>
      <c r="C18" s="37" t="s">
        <v>30</v>
      </c>
      <c r="D18" s="75" t="s">
        <v>7</v>
      </c>
      <c r="E18" s="80">
        <v>1.792</v>
      </c>
      <c r="F18" s="68">
        <f t="shared" si="15"/>
        <v>1.96224</v>
      </c>
      <c r="G18" s="58">
        <v>1.0365</v>
      </c>
      <c r="H18" s="68">
        <f t="shared" si="3"/>
        <v>1.1349674999999999</v>
      </c>
      <c r="I18" s="63">
        <f t="shared" si="4"/>
        <v>-0.82727250000000008</v>
      </c>
      <c r="J18" s="112">
        <f t="shared" si="5"/>
        <v>0.57840401785714279</v>
      </c>
      <c r="L18" s="41">
        <v>1</v>
      </c>
      <c r="M18" s="93">
        <f>L18*12</f>
        <v>12</v>
      </c>
      <c r="O18" s="53">
        <f t="shared" si="0"/>
        <v>1.96224</v>
      </c>
      <c r="P18" s="472">
        <f>SUM(O18:O20)</f>
        <v>8.6005680000000009</v>
      </c>
      <c r="Q18" s="95">
        <f t="shared" si="7"/>
        <v>23.546880000000002</v>
      </c>
      <c r="R18" s="475">
        <f>SUM(Q18:Q20)</f>
        <v>103.206816</v>
      </c>
      <c r="S18" s="53">
        <f t="shared" si="1"/>
        <v>1.1349674999999999</v>
      </c>
      <c r="T18" s="472">
        <f>SUM(S18:S20)</f>
        <v>12.4918695</v>
      </c>
      <c r="U18" s="95">
        <f t="shared" si="8"/>
        <v>13.619609999999998</v>
      </c>
      <c r="V18" s="475">
        <f>SUM(U18:U20)</f>
        <v>149.902434</v>
      </c>
      <c r="X18" s="53">
        <f t="shared" si="9"/>
        <v>-0.82727250000000008</v>
      </c>
      <c r="Y18" s="494">
        <f t="shared" ref="Y18" si="22">T18-P18</f>
        <v>3.8913014999999991</v>
      </c>
      <c r="Z18" s="505">
        <f>Y18</f>
        <v>3.8913014999999991</v>
      </c>
      <c r="AA18" s="100">
        <f t="shared" si="10"/>
        <v>-9.9272700000000036</v>
      </c>
      <c r="AB18" s="469">
        <f t="shared" ref="AB18" si="23">V18-R18</f>
        <v>46.695617999999996</v>
      </c>
      <c r="AC18" s="111"/>
      <c r="AE18" s="131">
        <f t="shared" si="11"/>
        <v>0.57840401785714279</v>
      </c>
      <c r="AF18" s="497">
        <f t="shared" ref="AF18" si="24">T18/P18</f>
        <v>1.4524470360562232</v>
      </c>
      <c r="AG18" s="497">
        <f t="shared" ref="AG18" si="25">V18/R18</f>
        <v>1.4524470360562232</v>
      </c>
    </row>
    <row r="19" spans="1:35" ht="38.25" customHeight="1" x14ac:dyDescent="0.25">
      <c r="A19" s="460"/>
      <c r="B19" s="429"/>
      <c r="C19" s="3" t="s">
        <v>8</v>
      </c>
      <c r="D19" s="76" t="s">
        <v>9</v>
      </c>
      <c r="E19" s="12">
        <v>0.27300000000000002</v>
      </c>
      <c r="F19" s="69">
        <f t="shared" si="15"/>
        <v>0.29893500000000001</v>
      </c>
      <c r="G19" s="59">
        <v>0.51239999999999997</v>
      </c>
      <c r="H19" s="69">
        <f t="shared" si="3"/>
        <v>0.56107799999999997</v>
      </c>
      <c r="I19" s="64">
        <f t="shared" si="4"/>
        <v>0.26214299999999996</v>
      </c>
      <c r="J19" s="113">
        <f t="shared" si="5"/>
        <v>1.8769230769230767</v>
      </c>
      <c r="L19" s="42">
        <f>4.5*4</f>
        <v>18</v>
      </c>
      <c r="M19" s="90">
        <f t="shared" si="6"/>
        <v>216</v>
      </c>
      <c r="O19" s="54">
        <f t="shared" si="0"/>
        <v>5.3808300000000004</v>
      </c>
      <c r="P19" s="473"/>
      <c r="Q19" s="96">
        <f t="shared" si="7"/>
        <v>64.569960000000009</v>
      </c>
      <c r="R19" s="476"/>
      <c r="S19" s="54">
        <f t="shared" si="1"/>
        <v>10.099404</v>
      </c>
      <c r="T19" s="473"/>
      <c r="U19" s="96">
        <f t="shared" si="8"/>
        <v>121.192848</v>
      </c>
      <c r="V19" s="476"/>
      <c r="X19" s="54">
        <f t="shared" si="9"/>
        <v>4.7185739999999994</v>
      </c>
      <c r="Y19" s="495"/>
      <c r="Z19" s="506"/>
      <c r="AA19" s="101">
        <f t="shared" si="10"/>
        <v>56.622887999999989</v>
      </c>
      <c r="AB19" s="470"/>
      <c r="AC19" s="111">
        <f>AB18</f>
        <v>46.695617999999996</v>
      </c>
      <c r="AE19" s="127">
        <f t="shared" si="11"/>
        <v>1.8769230769230767</v>
      </c>
      <c r="AF19" s="498"/>
      <c r="AG19" s="498"/>
      <c r="AI19" s="2"/>
    </row>
    <row r="20" spans="1:35" ht="38.25" customHeight="1" thickBot="1" x14ac:dyDescent="0.3">
      <c r="A20" s="461"/>
      <c r="B20" s="462"/>
      <c r="C20" s="36" t="s">
        <v>10</v>
      </c>
      <c r="D20" s="79" t="s">
        <v>9</v>
      </c>
      <c r="E20" s="82">
        <v>6.3799999999999996E-2</v>
      </c>
      <c r="F20" s="72">
        <f t="shared" si="15"/>
        <v>6.9860999999999993E-2</v>
      </c>
      <c r="G20" s="62">
        <v>6.3799999999999996E-2</v>
      </c>
      <c r="H20" s="72">
        <f t="shared" si="3"/>
        <v>6.9860999999999993E-2</v>
      </c>
      <c r="I20" s="67">
        <f t="shared" si="4"/>
        <v>0</v>
      </c>
      <c r="J20" s="116">
        <f t="shared" si="5"/>
        <v>1</v>
      </c>
      <c r="L20" s="45">
        <f>4.5*4</f>
        <v>18</v>
      </c>
      <c r="M20" s="92">
        <f t="shared" si="6"/>
        <v>216</v>
      </c>
      <c r="O20" s="57">
        <f t="shared" si="0"/>
        <v>1.2574979999999998</v>
      </c>
      <c r="P20" s="474"/>
      <c r="Q20" s="99">
        <f t="shared" si="7"/>
        <v>15.089975999999997</v>
      </c>
      <c r="R20" s="477"/>
      <c r="S20" s="57">
        <f t="shared" si="1"/>
        <v>1.2574979999999998</v>
      </c>
      <c r="T20" s="474"/>
      <c r="U20" s="99">
        <f t="shared" si="8"/>
        <v>15.089975999999997</v>
      </c>
      <c r="V20" s="477"/>
      <c r="X20" s="57">
        <f t="shared" si="9"/>
        <v>0</v>
      </c>
      <c r="Y20" s="496"/>
      <c r="Z20" s="507"/>
      <c r="AA20" s="104">
        <f t="shared" si="10"/>
        <v>0</v>
      </c>
      <c r="AB20" s="471"/>
      <c r="AC20" s="117"/>
      <c r="AE20" s="130">
        <f t="shared" si="11"/>
        <v>1</v>
      </c>
      <c r="AF20" s="499"/>
      <c r="AG20" s="499"/>
    </row>
    <row r="21" spans="1:35" ht="18.75" customHeight="1" x14ac:dyDescent="0.25">
      <c r="E21" s="2"/>
      <c r="F21" s="2"/>
      <c r="G21" s="2"/>
      <c r="H21" s="2"/>
      <c r="I21" s="2"/>
      <c r="J21" s="2"/>
    </row>
    <row r="22" spans="1:35" ht="18" customHeight="1" x14ac:dyDescent="0.25">
      <c r="A22" s="86" t="s">
        <v>45</v>
      </c>
      <c r="B22" s="501" t="s">
        <v>44</v>
      </c>
      <c r="C22" s="501"/>
    </row>
    <row r="29" spans="1:35" x14ac:dyDescent="0.25">
      <c r="E29" s="2"/>
      <c r="F29" s="2"/>
      <c r="G29" s="2"/>
      <c r="H29" s="2"/>
      <c r="I29" s="2"/>
      <c r="J29" s="2"/>
    </row>
  </sheetData>
  <mergeCells count="67">
    <mergeCell ref="Y18:Y20"/>
    <mergeCell ref="AF18:AF20"/>
    <mergeCell ref="AG18:AG20"/>
    <mergeCell ref="AE4:AG4"/>
    <mergeCell ref="B22:C22"/>
    <mergeCell ref="X4:Z4"/>
    <mergeCell ref="AA4:AC4"/>
    <mergeCell ref="Z6:Z11"/>
    <mergeCell ref="AC6:AC11"/>
    <mergeCell ref="Z12:Z17"/>
    <mergeCell ref="Z18:Z20"/>
    <mergeCell ref="AC12:AC17"/>
    <mergeCell ref="Y12:Y14"/>
    <mergeCell ref="AB12:AB14"/>
    <mergeCell ref="AF12:AF14"/>
    <mergeCell ref="Y15:Y17"/>
    <mergeCell ref="AB6:AB8"/>
    <mergeCell ref="AF6:AF8"/>
    <mergeCell ref="Y9:Y11"/>
    <mergeCell ref="AB9:AB11"/>
    <mergeCell ref="AF9:AF11"/>
    <mergeCell ref="P18:P20"/>
    <mergeCell ref="R18:R20"/>
    <mergeCell ref="O3:R3"/>
    <mergeCell ref="O4:P4"/>
    <mergeCell ref="Q4:R4"/>
    <mergeCell ref="P6:P8"/>
    <mergeCell ref="P9:P11"/>
    <mergeCell ref="AB18:AB20"/>
    <mergeCell ref="T18:T20"/>
    <mergeCell ref="V18:V20"/>
    <mergeCell ref="R6:R8"/>
    <mergeCell ref="R9:R11"/>
    <mergeCell ref="R12:R14"/>
    <mergeCell ref="R15:R17"/>
    <mergeCell ref="T6:T8"/>
    <mergeCell ref="V6:V8"/>
    <mergeCell ref="T9:T11"/>
    <mergeCell ref="V9:V11"/>
    <mergeCell ref="T12:T14"/>
    <mergeCell ref="V12:V14"/>
    <mergeCell ref="T15:T17"/>
    <mergeCell ref="V15:V17"/>
    <mergeCell ref="AB15:AB17"/>
    <mergeCell ref="A18:A20"/>
    <mergeCell ref="B18:B20"/>
    <mergeCell ref="A6:A11"/>
    <mergeCell ref="B9:B11"/>
    <mergeCell ref="A12:A17"/>
    <mergeCell ref="B12:B14"/>
    <mergeCell ref="B15:B17"/>
    <mergeCell ref="E4:F4"/>
    <mergeCell ref="G4:H4"/>
    <mergeCell ref="B6:B8"/>
    <mergeCell ref="A2:D2"/>
    <mergeCell ref="AG12:AG17"/>
    <mergeCell ref="P12:P14"/>
    <mergeCell ref="P15:P17"/>
    <mergeCell ref="AE3:AG3"/>
    <mergeCell ref="X3:AC3"/>
    <mergeCell ref="L3:M3"/>
    <mergeCell ref="S3:V3"/>
    <mergeCell ref="S4:T4"/>
    <mergeCell ref="U4:V4"/>
    <mergeCell ref="AG6:AG11"/>
    <mergeCell ref="AF15:AF17"/>
    <mergeCell ref="Y6:Y8"/>
  </mergeCells>
  <pageMargins left="0.23622047244094491" right="0.23622047244094491" top="0.74803149606299213" bottom="0.74803149606299213" header="0.31496062992125984" footer="0.31496062992125984"/>
  <pageSetup paperSize="9" scale="64" fitToWidth="2" orientation="landscape" r:id="rId1"/>
  <headerFooter>
    <oddHeader>&amp;L&amp;G&amp;CPrimerjava prodajnih cen VOKA</oddHeader>
    <oddFooter>&amp;LRavne na Koroškem, &amp;D
Andreja Jehart&amp;RStran &amp;P/&amp;N</oddFooter>
  </headerFooter>
  <colBreaks count="2" manualBreakCount="2">
    <brk id="11" max="1048575" man="1"/>
    <brk id="23" max="1048575" man="1"/>
  </col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L27"/>
  <sheetViews>
    <sheetView zoomScaleNormal="100" workbookViewId="0">
      <selection activeCell="A21" sqref="A21"/>
    </sheetView>
  </sheetViews>
  <sheetFormatPr defaultRowHeight="15.75" x14ac:dyDescent="0.25"/>
  <cols>
    <col min="1" max="1" width="31.85546875" customWidth="1"/>
    <col min="2" max="2" width="11.7109375" customWidth="1"/>
    <col min="3" max="3" width="11.42578125" customWidth="1"/>
    <col min="4" max="4" width="9.140625" hidden="1" customWidth="1"/>
    <col min="5" max="5" width="9.140625" customWidth="1"/>
    <col min="6" max="6" width="9.140625" hidden="1" customWidth="1"/>
    <col min="7" max="12" width="9.140625" customWidth="1"/>
    <col min="13" max="13" width="9.140625" hidden="1" customWidth="1"/>
    <col min="14" max="18" width="9.140625" customWidth="1"/>
    <col min="19" max="19" width="11" customWidth="1"/>
    <col min="20" max="20" width="0" hidden="1" customWidth="1"/>
    <col min="21" max="22" width="11.28515625" style="341" customWidth="1"/>
    <col min="23" max="24" width="11.42578125" style="341" customWidth="1"/>
    <col min="25" max="25" width="3.140625" customWidth="1"/>
    <col min="26" max="26" width="11.42578125" style="341" customWidth="1"/>
    <col min="27" max="27" width="12.28515625" style="341" customWidth="1"/>
    <col min="28" max="28" width="9.140625" style="341"/>
    <col min="29" max="29" width="11.140625" style="341" customWidth="1"/>
    <col min="30" max="30" width="9.140625" style="341"/>
    <col min="31" max="31" width="3.28515625" customWidth="1"/>
    <col min="32" max="32" width="10.140625" customWidth="1"/>
    <col min="33" max="33" width="10.85546875" customWidth="1"/>
    <col min="35" max="35" width="11" customWidth="1"/>
  </cols>
  <sheetData>
    <row r="1" spans="1:38" ht="20.25" x14ac:dyDescent="0.3">
      <c r="A1" s="377" t="s">
        <v>129</v>
      </c>
    </row>
    <row r="3" spans="1:38" ht="18.75" x14ac:dyDescent="0.25">
      <c r="A3" s="400" t="s">
        <v>135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2"/>
      <c r="V3" s="402"/>
      <c r="W3" s="402"/>
      <c r="X3" s="402"/>
      <c r="Y3" s="401"/>
      <c r="Z3" s="402"/>
      <c r="AA3" s="402"/>
    </row>
    <row r="5" spans="1:38" ht="117" customHeight="1" x14ac:dyDescent="0.25">
      <c r="A5" s="399"/>
      <c r="B5" s="378"/>
      <c r="E5" s="550" t="s">
        <v>142</v>
      </c>
      <c r="F5" s="551"/>
      <c r="G5" s="551"/>
      <c r="H5" s="551"/>
      <c r="I5" s="551"/>
      <c r="J5" s="552"/>
      <c r="L5" s="550" t="s">
        <v>145</v>
      </c>
      <c r="M5" s="551"/>
      <c r="N5" s="551"/>
      <c r="O5" s="551"/>
      <c r="P5" s="551"/>
      <c r="Q5" s="552"/>
      <c r="S5" s="550" t="s">
        <v>143</v>
      </c>
      <c r="T5" s="551"/>
      <c r="U5" s="551"/>
      <c r="V5" s="551"/>
      <c r="W5" s="551"/>
      <c r="X5" s="552"/>
      <c r="Z5" s="550" t="s">
        <v>132</v>
      </c>
      <c r="AA5" s="556"/>
      <c r="AB5" s="556"/>
      <c r="AC5" s="556"/>
      <c r="AD5" s="557"/>
      <c r="AF5" s="550" t="s">
        <v>133</v>
      </c>
      <c r="AG5" s="556"/>
      <c r="AH5" s="556"/>
      <c r="AI5" s="556"/>
      <c r="AJ5" s="557"/>
    </row>
    <row r="6" spans="1:38" ht="66.75" customHeight="1" x14ac:dyDescent="0.3">
      <c r="B6" s="174"/>
      <c r="C6" s="525" t="s">
        <v>128</v>
      </c>
      <c r="D6" s="526"/>
      <c r="E6" s="525" t="s">
        <v>76</v>
      </c>
      <c r="F6" s="549"/>
      <c r="G6" s="554" t="s">
        <v>130</v>
      </c>
      <c r="H6" s="555"/>
      <c r="I6" s="554" t="s">
        <v>131</v>
      </c>
      <c r="J6" s="555"/>
      <c r="K6" s="415"/>
      <c r="L6" s="563" t="s">
        <v>76</v>
      </c>
      <c r="M6" s="564"/>
      <c r="N6" s="554" t="s">
        <v>130</v>
      </c>
      <c r="O6" s="555"/>
      <c r="P6" s="554" t="s">
        <v>131</v>
      </c>
      <c r="Q6" s="555"/>
      <c r="R6" s="415"/>
      <c r="S6" s="525" t="s">
        <v>76</v>
      </c>
      <c r="T6" s="549"/>
      <c r="U6" s="554" t="s">
        <v>130</v>
      </c>
      <c r="V6" s="555"/>
      <c r="W6" s="554" t="s">
        <v>131</v>
      </c>
      <c r="X6" s="555"/>
      <c r="Z6" s="558" t="s">
        <v>134</v>
      </c>
      <c r="AA6" s="554" t="s">
        <v>130</v>
      </c>
      <c r="AB6" s="555"/>
      <c r="AC6" s="554" t="s">
        <v>131</v>
      </c>
      <c r="AD6" s="555"/>
      <c r="AF6" s="558" t="s">
        <v>120</v>
      </c>
      <c r="AG6" s="554" t="s">
        <v>130</v>
      </c>
      <c r="AH6" s="555"/>
      <c r="AI6" s="554" t="s">
        <v>131</v>
      </c>
      <c r="AJ6" s="555"/>
    </row>
    <row r="7" spans="1:38" ht="63.75" thickBot="1" x14ac:dyDescent="0.3">
      <c r="A7" s="167" t="s">
        <v>2</v>
      </c>
      <c r="B7" s="178" t="s">
        <v>3</v>
      </c>
      <c r="C7" s="49" t="s">
        <v>63</v>
      </c>
      <c r="D7" s="168" t="s">
        <v>64</v>
      </c>
      <c r="E7" s="49" t="s">
        <v>63</v>
      </c>
      <c r="F7" s="345" t="s">
        <v>64</v>
      </c>
      <c r="G7" s="49" t="s">
        <v>140</v>
      </c>
      <c r="H7" s="168" t="s">
        <v>115</v>
      </c>
      <c r="I7" s="49" t="s">
        <v>140</v>
      </c>
      <c r="J7" s="168" t="s">
        <v>115</v>
      </c>
      <c r="K7" s="416"/>
      <c r="L7" s="49" t="s">
        <v>63</v>
      </c>
      <c r="M7" s="345" t="s">
        <v>64</v>
      </c>
      <c r="N7" s="49" t="s">
        <v>140</v>
      </c>
      <c r="O7" s="168" t="s">
        <v>115</v>
      </c>
      <c r="P7" s="49" t="s">
        <v>140</v>
      </c>
      <c r="Q7" s="168" t="s">
        <v>115</v>
      </c>
      <c r="R7" s="416"/>
      <c r="S7" s="49" t="s">
        <v>63</v>
      </c>
      <c r="T7" s="345" t="s">
        <v>64</v>
      </c>
      <c r="U7" s="49" t="s">
        <v>140</v>
      </c>
      <c r="V7" s="168" t="s">
        <v>115</v>
      </c>
      <c r="W7" s="49" t="s">
        <v>140</v>
      </c>
      <c r="X7" s="168" t="s">
        <v>115</v>
      </c>
      <c r="Z7" s="559"/>
      <c r="AA7" s="49" t="s">
        <v>140</v>
      </c>
      <c r="AB7" s="168" t="s">
        <v>115</v>
      </c>
      <c r="AC7" s="49" t="s">
        <v>140</v>
      </c>
      <c r="AD7" s="168" t="s">
        <v>115</v>
      </c>
      <c r="AF7" s="559"/>
      <c r="AG7" s="49" t="s">
        <v>140</v>
      </c>
      <c r="AH7" s="84" t="s">
        <v>115</v>
      </c>
      <c r="AI7" s="49" t="s">
        <v>140</v>
      </c>
      <c r="AJ7" s="84" t="s">
        <v>115</v>
      </c>
    </row>
    <row r="8" spans="1:38" ht="15.75" customHeight="1" x14ac:dyDescent="0.3">
      <c r="A8" s="379" t="s">
        <v>118</v>
      </c>
      <c r="B8" s="342" t="s">
        <v>7</v>
      </c>
      <c r="C8" s="380">
        <f>skupaj_predlog1!E16</f>
        <v>3.2275</v>
      </c>
      <c r="D8" s="381">
        <f>ROUND(C8,4)*1.095</f>
        <v>3.5341125</v>
      </c>
      <c r="E8" s="380">
        <f>skupaj_predlog1!G16</f>
        <v>1.7602</v>
      </c>
      <c r="F8" s="346">
        <f>ROUND(E8,4)*1.095</f>
        <v>1.927419</v>
      </c>
      <c r="G8" s="354">
        <f>skupaj_predlog1!O16</f>
        <v>-1.6067</v>
      </c>
      <c r="H8" s="565"/>
      <c r="I8" s="354">
        <f>skupaj_predlog1!Z16</f>
        <v>0.91399999999999992</v>
      </c>
      <c r="J8" s="565"/>
      <c r="K8" s="381"/>
      <c r="L8" s="380">
        <f>'skupaj_ predlog2'!G17</f>
        <v>2.0541620450606586</v>
      </c>
      <c r="M8" s="346">
        <f>ROUND(L8,4)*1.095</f>
        <v>2.2493489999999996</v>
      </c>
      <c r="N8" s="354">
        <f>'skupaj_ predlog2'!N17</f>
        <v>-1.2847635000000004</v>
      </c>
      <c r="O8" s="565"/>
      <c r="P8" s="354">
        <f>'skupaj_ predlog2'!U17</f>
        <v>1.2359489999999995</v>
      </c>
      <c r="Q8" s="565"/>
      <c r="R8" s="381"/>
      <c r="S8" s="380">
        <f>'skupaj_ predlog2_znižano Pr'!G17</f>
        <v>2.0541620450606586</v>
      </c>
      <c r="T8" s="346">
        <f>ROUND(S8,4)*1.095</f>
        <v>2.2493489999999996</v>
      </c>
      <c r="U8" s="354">
        <f>'skupaj_ predlog2_znižano Pr'!N17</f>
        <v>-1.2847635000000004</v>
      </c>
      <c r="V8" s="565"/>
      <c r="W8" s="354">
        <f>'skupaj_ predlog2_znižano Pr'!U17</f>
        <v>1.2359489999999995</v>
      </c>
      <c r="X8" s="565"/>
      <c r="Z8" s="361">
        <f>[2]VOKA_Omrežnina_predrač.2014_2!$P$23</f>
        <v>2.0541620450606586</v>
      </c>
      <c r="AA8" s="354">
        <f>U8</f>
        <v>-1.2847635000000004</v>
      </c>
      <c r="AB8" s="565"/>
      <c r="AC8" s="354">
        <f>W8</f>
        <v>1.2359489999999995</v>
      </c>
      <c r="AD8" s="565"/>
      <c r="AF8" s="368">
        <f>[2]VOKA_Omrežnina_predrač.2014_2!$P$23</f>
        <v>2.0541620450606586</v>
      </c>
      <c r="AG8" s="358">
        <f>AA8</f>
        <v>-1.2847635000000004</v>
      </c>
      <c r="AH8" s="568"/>
      <c r="AI8" s="358">
        <f>AC8</f>
        <v>1.2359489999999995</v>
      </c>
      <c r="AJ8" s="568"/>
    </row>
    <row r="9" spans="1:38" ht="16.5" customHeight="1" x14ac:dyDescent="0.3">
      <c r="A9" s="382" t="s">
        <v>119</v>
      </c>
      <c r="B9" s="343" t="s">
        <v>7</v>
      </c>
      <c r="C9" s="383">
        <f>skupaj_predlog1!E20</f>
        <v>2.9375</v>
      </c>
      <c r="D9" s="384">
        <f>ROUND(C9,4)*1.095</f>
        <v>3.2165624999999998</v>
      </c>
      <c r="E9" s="383">
        <f>skupaj_predlog1!G20</f>
        <v>2.5634999999999999</v>
      </c>
      <c r="F9" s="347">
        <f>ROUND(E9,4)*1.095</f>
        <v>2.8070324999999996</v>
      </c>
      <c r="G9" s="12">
        <f>skupaj_predlog1!O20</f>
        <v>-0.40960000000000019</v>
      </c>
      <c r="H9" s="566"/>
      <c r="I9" s="12">
        <f>skupaj_predlog1!Z20</f>
        <v>1.8837999999999999</v>
      </c>
      <c r="J9" s="566"/>
      <c r="K9" s="384"/>
      <c r="L9" s="383">
        <f>'skupaj_ predlog2'!G22</f>
        <v>2.5634939341421146</v>
      </c>
      <c r="M9" s="347">
        <f>ROUND(L9,4)*1.095</f>
        <v>2.8070324999999996</v>
      </c>
      <c r="N9" s="12">
        <f>'skupaj_ predlog2'!N22</f>
        <v>-0.40953000000000017</v>
      </c>
      <c r="O9" s="566"/>
      <c r="P9" s="12">
        <f>'skupaj_ predlog2'!U22</f>
        <v>1.8838324999999996</v>
      </c>
      <c r="Q9" s="566"/>
      <c r="R9" s="384"/>
      <c r="S9" s="383">
        <f>'skupaj_ predlog2_znižano Pr'!G22</f>
        <v>2.5634939341421146</v>
      </c>
      <c r="T9" s="347">
        <f>ROUND(S9,4)*1.095</f>
        <v>2.8070324999999996</v>
      </c>
      <c r="U9" s="12">
        <f>'skupaj_ predlog2_znižano Pr'!N22</f>
        <v>-0.40953000000000017</v>
      </c>
      <c r="V9" s="566"/>
      <c r="W9" s="12">
        <f>'skupaj_ predlog2_znižano Pr'!U22</f>
        <v>1.8838324999999996</v>
      </c>
      <c r="X9" s="566"/>
      <c r="Z9" s="362">
        <f>[2]VOKA_Omrežnina_predrač.2014_2!$Q$23</f>
        <v>2.5634939341421146</v>
      </c>
      <c r="AA9" s="12">
        <f>U9</f>
        <v>-0.40953000000000017</v>
      </c>
      <c r="AB9" s="566"/>
      <c r="AC9" s="12">
        <f>W9</f>
        <v>1.8838324999999996</v>
      </c>
      <c r="AD9" s="566"/>
      <c r="AF9" s="362">
        <f>[2]VOKA_Omrežnina_predrač.2014_2!$Q$23</f>
        <v>2.5634939341421146</v>
      </c>
      <c r="AG9" s="12">
        <f>AA9</f>
        <v>-0.40953000000000017</v>
      </c>
      <c r="AH9" s="566"/>
      <c r="AI9" s="12">
        <f>AC9</f>
        <v>1.8838324999999996</v>
      </c>
      <c r="AJ9" s="566"/>
    </row>
    <row r="10" spans="1:38" ht="16.5" customHeight="1" x14ac:dyDescent="0.3">
      <c r="A10" s="417" t="s">
        <v>116</v>
      </c>
      <c r="B10" s="418"/>
      <c r="C10" s="418"/>
      <c r="D10" s="418"/>
      <c r="E10" s="419"/>
      <c r="F10" s="348"/>
      <c r="G10" s="355">
        <f>SUM(G8:G9)</f>
        <v>-2.0163000000000002</v>
      </c>
      <c r="H10" s="566"/>
      <c r="I10" s="355">
        <f>SUM(I8:I9)</f>
        <v>2.7977999999999996</v>
      </c>
      <c r="J10" s="566"/>
      <c r="K10" s="418"/>
      <c r="L10" s="419"/>
      <c r="M10" s="348"/>
      <c r="N10" s="355">
        <f>SUM(N8:N9)</f>
        <v>-1.6942935000000006</v>
      </c>
      <c r="O10" s="566"/>
      <c r="P10" s="355">
        <f>SUM(P8:P9)</f>
        <v>3.1197814999999993</v>
      </c>
      <c r="Q10" s="566"/>
      <c r="R10" s="418"/>
      <c r="S10" s="419"/>
      <c r="T10" s="348"/>
      <c r="U10" s="355">
        <f>SUM(U8:U9)</f>
        <v>-1.6942935000000006</v>
      </c>
      <c r="V10" s="566"/>
      <c r="W10" s="355">
        <f>SUM(W8:W9)</f>
        <v>3.1197814999999993</v>
      </c>
      <c r="X10" s="566"/>
      <c r="Z10" s="363"/>
      <c r="AA10" s="355">
        <f>SUM(AA8:AA9)</f>
        <v>-1.6942935000000006</v>
      </c>
      <c r="AB10" s="566"/>
      <c r="AC10" s="355">
        <f>SUM(AC8:AC9)</f>
        <v>3.1197814999999993</v>
      </c>
      <c r="AD10" s="566"/>
      <c r="AF10" s="363"/>
      <c r="AG10" s="355">
        <f>SUM(AG8:AG9)</f>
        <v>-1.6942935000000006</v>
      </c>
      <c r="AH10" s="566"/>
      <c r="AI10" s="355">
        <f>SUM(AI8:AI9)</f>
        <v>3.1197814999999993</v>
      </c>
      <c r="AJ10" s="566"/>
    </row>
    <row r="11" spans="1:38" ht="16.5" x14ac:dyDescent="0.3">
      <c r="A11" s="385" t="s">
        <v>113</v>
      </c>
      <c r="B11" s="372" t="s">
        <v>121</v>
      </c>
      <c r="C11" s="386">
        <f>skupaj_predlog1!E17</f>
        <v>0.26219999999999999</v>
      </c>
      <c r="D11" s="387">
        <f>ROUND(C11,4)*1.095</f>
        <v>0.287109</v>
      </c>
      <c r="E11" s="388">
        <f>skupaj_predlog1!G17</f>
        <v>0.52990000000000004</v>
      </c>
      <c r="F11" s="349">
        <f>ROUND(E11,4)*1.095</f>
        <v>0.58024050000000005</v>
      </c>
      <c r="G11" s="12">
        <f>skupaj_predlog1!O17</f>
        <v>4.4551200000000009</v>
      </c>
      <c r="H11" s="566"/>
      <c r="I11" s="12">
        <f>skupaj_predlog1!Z17</f>
        <v>4.4551200000000009</v>
      </c>
      <c r="J11" s="566"/>
      <c r="K11" s="387"/>
      <c r="L11" s="388">
        <f>'skupaj_ predlog2'!G19</f>
        <v>0.43588106176789876</v>
      </c>
      <c r="M11" s="349">
        <f>ROUND(L11,4)*1.095</f>
        <v>0.47731050000000003</v>
      </c>
      <c r="N11" s="12">
        <f>'skupaj_ predlog2'!N19</f>
        <v>2.8910628000000003</v>
      </c>
      <c r="O11" s="566"/>
      <c r="P11" s="12">
        <f>'skupaj_ predlog2'!U19</f>
        <v>2.8910628000000003</v>
      </c>
      <c r="Q11" s="566"/>
      <c r="R11" s="387"/>
      <c r="S11" s="388">
        <f>'skupaj_ predlog2_znižano Pr'!G19</f>
        <v>0.39809973357361955</v>
      </c>
      <c r="T11" s="349">
        <f>ROUND(S11,4)*1.095</f>
        <v>0.43591950000000002</v>
      </c>
      <c r="U11" s="12">
        <f>'skupaj_ predlog2_znižano Pr'!N19</f>
        <v>2.2619195999999997</v>
      </c>
      <c r="V11" s="566"/>
      <c r="W11" s="12">
        <f>'skupaj_ predlog2_znižano Pr'!U19</f>
        <v>2.2619195999999997</v>
      </c>
      <c r="X11" s="566"/>
      <c r="Z11" s="364">
        <f>C11</f>
        <v>0.26219999999999999</v>
      </c>
      <c r="AA11" s="407">
        <v>0</v>
      </c>
      <c r="AB11" s="566"/>
      <c r="AC11" s="407">
        <f>'skupaj_ predlog2_znižano Pr'!Y19</f>
        <v>0</v>
      </c>
      <c r="AD11" s="566"/>
      <c r="AF11" s="369">
        <f>'skupaj_ var1_Prevalje '!G19</f>
        <v>0.34089999999999998</v>
      </c>
      <c r="AG11" s="12">
        <f>'skupaj_ var1_Prevalje '!N19</f>
        <v>1.3098827999999996</v>
      </c>
      <c r="AH11" s="566"/>
      <c r="AI11" s="12">
        <f>'skupaj_ var1_Prevalje '!U19</f>
        <v>1.3098827999999996</v>
      </c>
      <c r="AJ11" s="566"/>
      <c r="AL11" s="2"/>
    </row>
    <row r="12" spans="1:38" ht="16.5" x14ac:dyDescent="0.3">
      <c r="A12" s="389" t="s">
        <v>114</v>
      </c>
      <c r="B12" s="373" t="s">
        <v>121</v>
      </c>
      <c r="C12" s="390">
        <f>skupaj_predlog1!E21</f>
        <v>0.21460000000000001</v>
      </c>
      <c r="D12" s="391">
        <f>ROUND(C12,4)*1.095</f>
        <v>0.234987</v>
      </c>
      <c r="E12" s="392">
        <f>skupaj_predlog1!G21</f>
        <v>0.29260000000000003</v>
      </c>
      <c r="F12" s="350">
        <f>ROUND(E12,4)*1.095</f>
        <v>0.32039700000000004</v>
      </c>
      <c r="G12" s="356">
        <f>skupaj_predlog1!O21</f>
        <v>1.2980800000000001</v>
      </c>
      <c r="H12" s="566"/>
      <c r="I12" s="356">
        <f>skupaj_predlog1!Z21</f>
        <v>1.2980800000000001</v>
      </c>
      <c r="J12" s="566"/>
      <c r="K12" s="391"/>
      <c r="L12" s="392">
        <f>'skupaj_ predlog2'!G23</f>
        <v>0.29871386100925484</v>
      </c>
      <c r="M12" s="350">
        <f>ROUND(L12,4)*1.095</f>
        <v>0.32707649999999999</v>
      </c>
      <c r="N12" s="356">
        <f>'skupaj_ predlog2'!N23</f>
        <v>1.3997604000000003</v>
      </c>
      <c r="O12" s="566"/>
      <c r="P12" s="356">
        <f>'skupaj_ predlog2'!U23</f>
        <v>1.3997604000000003</v>
      </c>
      <c r="Q12" s="566"/>
      <c r="R12" s="391"/>
      <c r="S12" s="392">
        <f>'skupaj_ predlog2_znižano Pr'!G23</f>
        <v>0.27280050736952882</v>
      </c>
      <c r="T12" s="350">
        <f>ROUND(S12,4)*1.095</f>
        <v>0.29871599999999998</v>
      </c>
      <c r="U12" s="356">
        <f>'skupaj_ predlog2_znižano Pr'!N23</f>
        <v>0.96868080000000001</v>
      </c>
      <c r="V12" s="566"/>
      <c r="W12" s="356">
        <f>'skupaj_ predlog2_znižano Pr'!U23</f>
        <v>0.96868080000000001</v>
      </c>
      <c r="X12" s="566"/>
      <c r="Z12" s="364">
        <f>C12</f>
        <v>0.21460000000000001</v>
      </c>
      <c r="AA12" s="408">
        <v>0</v>
      </c>
      <c r="AB12" s="566"/>
      <c r="AC12" s="408">
        <f>'skupaj_ predlog2_znižano Pr'!Y23</f>
        <v>0</v>
      </c>
      <c r="AD12" s="566"/>
      <c r="AF12" s="370">
        <f>'skupaj_ var1_Prevalje '!G23</f>
        <v>0.24340000000000001</v>
      </c>
      <c r="AG12" s="12">
        <f>'skupaj_ var1_Prevalje '!N23</f>
        <v>0.47934719999999986</v>
      </c>
      <c r="AH12" s="566"/>
      <c r="AI12" s="12">
        <f>'skupaj_ var1_Prevalje '!U23</f>
        <v>0.47934719999999986</v>
      </c>
      <c r="AJ12" s="566"/>
      <c r="AL12" s="2"/>
    </row>
    <row r="13" spans="1:38" ht="16.5" x14ac:dyDescent="0.3">
      <c r="A13" s="420" t="s">
        <v>117</v>
      </c>
      <c r="B13" s="421"/>
      <c r="C13" s="421"/>
      <c r="D13" s="421"/>
      <c r="E13" s="422"/>
      <c r="F13" s="351"/>
      <c r="G13" s="357">
        <f>SUM(G11:G12)</f>
        <v>5.7532000000000014</v>
      </c>
      <c r="H13" s="566"/>
      <c r="I13" s="357">
        <f>SUM(I11:I12)</f>
        <v>5.7532000000000014</v>
      </c>
      <c r="J13" s="566"/>
      <c r="K13" s="421"/>
      <c r="L13" s="422"/>
      <c r="M13" s="351"/>
      <c r="N13" s="357">
        <f>SUM(N11:N12)</f>
        <v>4.2908232000000002</v>
      </c>
      <c r="O13" s="566"/>
      <c r="P13" s="357">
        <f>SUM(P11:P12)</f>
        <v>4.2908232000000002</v>
      </c>
      <c r="Q13" s="566"/>
      <c r="R13" s="421"/>
      <c r="S13" s="422"/>
      <c r="T13" s="351"/>
      <c r="U13" s="357">
        <f>SUM(U11:U12)</f>
        <v>3.2306003999999997</v>
      </c>
      <c r="V13" s="566"/>
      <c r="W13" s="357">
        <f>SUM(W11:W12)</f>
        <v>3.2306003999999997</v>
      </c>
      <c r="X13" s="566"/>
      <c r="Z13" s="365"/>
      <c r="AA13" s="409">
        <f>SUM(AA11:AA12)</f>
        <v>0</v>
      </c>
      <c r="AB13" s="566"/>
      <c r="AC13" s="409">
        <f>SUM(AC11:AC12)</f>
        <v>0</v>
      </c>
      <c r="AD13" s="566"/>
      <c r="AF13" s="365"/>
      <c r="AG13" s="357">
        <f>SUM(AG11:AG12)</f>
        <v>1.7892299999999994</v>
      </c>
      <c r="AH13" s="566"/>
      <c r="AI13" s="357">
        <f>SUM(AI11:AI12)</f>
        <v>1.7892299999999994</v>
      </c>
      <c r="AJ13" s="566"/>
    </row>
    <row r="14" spans="1:38" ht="16.5" x14ac:dyDescent="0.3">
      <c r="A14" s="393" t="s">
        <v>10</v>
      </c>
      <c r="B14" s="374" t="s">
        <v>121</v>
      </c>
      <c r="C14" s="394">
        <v>6.3799999999999996E-2</v>
      </c>
      <c r="D14" s="395">
        <f>ROUND(C14,4)*1.095</f>
        <v>6.9860999999999993E-2</v>
      </c>
      <c r="E14" s="394">
        <v>6.3799999999999996E-2</v>
      </c>
      <c r="F14" s="352">
        <f>ROUND(E14,4)*1.095</f>
        <v>6.9860999999999993E-2</v>
      </c>
      <c r="G14" s="411">
        <v>0</v>
      </c>
      <c r="H14" s="566"/>
      <c r="I14" s="411">
        <v>0</v>
      </c>
      <c r="J14" s="566"/>
      <c r="K14" s="395"/>
      <c r="L14" s="394">
        <v>6.3799999999999996E-2</v>
      </c>
      <c r="M14" s="352">
        <f>ROUND(L14,4)*1.095</f>
        <v>6.9860999999999993E-2</v>
      </c>
      <c r="N14" s="411">
        <v>0</v>
      </c>
      <c r="O14" s="566"/>
      <c r="P14" s="411">
        <f>'skupaj_ predlog2_znižano Pr'!N20</f>
        <v>0</v>
      </c>
      <c r="Q14" s="566"/>
      <c r="R14" s="395"/>
      <c r="S14" s="394">
        <v>6.3799999999999996E-2</v>
      </c>
      <c r="T14" s="352">
        <f>ROUND(S14,4)*1.095</f>
        <v>6.9860999999999993E-2</v>
      </c>
      <c r="U14" s="411">
        <f>'skupaj_ predlog2_znižano Pr'!N20</f>
        <v>0</v>
      </c>
      <c r="V14" s="566"/>
      <c r="W14" s="411">
        <f>'skupaj_ predlog2_znižano Pr'!U20</f>
        <v>0</v>
      </c>
      <c r="X14" s="566"/>
      <c r="Z14" s="366">
        <f>S14</f>
        <v>6.3799999999999996E-2</v>
      </c>
      <c r="AA14" s="411">
        <v>0</v>
      </c>
      <c r="AB14" s="566"/>
      <c r="AC14" s="411">
        <f>'skupaj_ predlog2_znižano Pr'!Y20</f>
        <v>0</v>
      </c>
      <c r="AD14" s="566"/>
      <c r="AF14" s="366">
        <f>Y14</f>
        <v>0</v>
      </c>
      <c r="AG14" s="411">
        <v>0</v>
      </c>
      <c r="AH14" s="566"/>
      <c r="AI14" s="411">
        <f>'skupaj_ predlog2_znižano Pr'!AE20</f>
        <v>0</v>
      </c>
      <c r="AJ14" s="566"/>
    </row>
    <row r="15" spans="1:38" ht="16.5" x14ac:dyDescent="0.3">
      <c r="A15" s="385" t="s">
        <v>42</v>
      </c>
      <c r="B15" s="372" t="s">
        <v>121</v>
      </c>
      <c r="C15" s="386">
        <v>0.52829999999999999</v>
      </c>
      <c r="D15" s="387">
        <f>ROUND(C15,4)*1</f>
        <v>0.52829999999999999</v>
      </c>
      <c r="E15" s="386">
        <v>0.52829999999999999</v>
      </c>
      <c r="F15" s="349">
        <f>ROUND(E15,4)*1</f>
        <v>0.52829999999999999</v>
      </c>
      <c r="G15" s="406">
        <v>0</v>
      </c>
      <c r="H15" s="566"/>
      <c r="I15" s="406">
        <v>0</v>
      </c>
      <c r="J15" s="566"/>
      <c r="K15" s="387"/>
      <c r="L15" s="386">
        <v>0.52829999999999999</v>
      </c>
      <c r="M15" s="349">
        <f>ROUND(L15,4)*1</f>
        <v>0.52829999999999999</v>
      </c>
      <c r="N15" s="406">
        <v>0</v>
      </c>
      <c r="O15" s="566"/>
      <c r="P15" s="406">
        <f>'skupaj_ predlog2_znižano Pr'!N24</f>
        <v>0</v>
      </c>
      <c r="Q15" s="566"/>
      <c r="R15" s="387"/>
      <c r="S15" s="386">
        <v>0.52829999999999999</v>
      </c>
      <c r="T15" s="349">
        <f>ROUND(S15,4)*1</f>
        <v>0.52829999999999999</v>
      </c>
      <c r="U15" s="406">
        <f>'skupaj_ predlog2_znižano Pr'!N24</f>
        <v>0</v>
      </c>
      <c r="V15" s="566"/>
      <c r="W15" s="406">
        <f>'skupaj_ predlog2_znižano Pr'!U24</f>
        <v>0</v>
      </c>
      <c r="X15" s="566"/>
      <c r="Z15" s="364">
        <f t="shared" ref="Z15:Z16" si="0">S15</f>
        <v>0.52829999999999999</v>
      </c>
      <c r="AA15" s="406">
        <v>0</v>
      </c>
      <c r="AB15" s="566"/>
      <c r="AC15" s="406">
        <f>'skupaj_ predlog2_znižano Pr'!Y24</f>
        <v>0</v>
      </c>
      <c r="AD15" s="566"/>
      <c r="AF15" s="364">
        <f t="shared" ref="AF15:AF16" si="1">Y15</f>
        <v>0</v>
      </c>
      <c r="AG15" s="406">
        <v>0</v>
      </c>
      <c r="AH15" s="566"/>
      <c r="AI15" s="406">
        <f>'skupaj_ predlog2_znižano Pr'!AE24</f>
        <v>0</v>
      </c>
      <c r="AJ15" s="566"/>
    </row>
    <row r="16" spans="1:38" ht="16.5" x14ac:dyDescent="0.3">
      <c r="A16" s="396" t="s">
        <v>77</v>
      </c>
      <c r="B16" s="344" t="s">
        <v>7</v>
      </c>
      <c r="C16" s="397"/>
      <c r="D16" s="398"/>
      <c r="E16" s="397"/>
      <c r="F16" s="353">
        <f>ROUND(E16,4)*1.095</f>
        <v>0</v>
      </c>
      <c r="G16" s="9"/>
      <c r="H16" s="567"/>
      <c r="I16" s="9">
        <v>0</v>
      </c>
      <c r="J16" s="567"/>
      <c r="K16" s="398"/>
      <c r="L16" s="397">
        <f>'skupaj_ predlog2'!G18</f>
        <v>-0.83739505597014929</v>
      </c>
      <c r="M16" s="353">
        <f>ROUND(L16,4)*1.095</f>
        <v>-0.91695300000000002</v>
      </c>
      <c r="N16" s="9"/>
      <c r="O16" s="567"/>
      <c r="P16" s="9">
        <f>'skupaj_ predlog2'!U18</f>
        <v>-0.91695300000000002</v>
      </c>
      <c r="Q16" s="567"/>
      <c r="R16" s="398"/>
      <c r="S16" s="397">
        <f>[2]VOKA_Omrežnina_predrač.2014_2!$AD$23</f>
        <v>-0.83739505597014929</v>
      </c>
      <c r="T16" s="353">
        <f>ROUND(S16,4)*1.095</f>
        <v>-0.91695300000000002</v>
      </c>
      <c r="U16" s="9"/>
      <c r="V16" s="567"/>
      <c r="W16" s="9">
        <f>'skupaj_ predlog2_znižano Pr'!U18</f>
        <v>-0.91695300000000002</v>
      </c>
      <c r="X16" s="567"/>
      <c r="Z16" s="367">
        <f t="shared" si="0"/>
        <v>-0.83739505597014929</v>
      </c>
      <c r="AA16" s="9"/>
      <c r="AB16" s="567"/>
      <c r="AC16" s="410">
        <f>'skupaj_ predlog2_znižano Pr'!Y18</f>
        <v>0</v>
      </c>
      <c r="AD16" s="567"/>
      <c r="AF16" s="367">
        <f t="shared" si="1"/>
        <v>0</v>
      </c>
      <c r="AG16" s="9"/>
      <c r="AH16" s="567"/>
      <c r="AI16" s="9">
        <f>W16</f>
        <v>-0.91695300000000002</v>
      </c>
      <c r="AJ16" s="567"/>
    </row>
    <row r="17" spans="1:36" ht="16.5" thickBot="1" x14ac:dyDescent="0.3">
      <c r="A17" s="423" t="s">
        <v>141</v>
      </c>
      <c r="B17" s="423"/>
      <c r="C17" s="423"/>
      <c r="D17" s="423"/>
      <c r="E17" s="423"/>
      <c r="F17" s="424"/>
      <c r="G17" s="359">
        <f>G10+G13</f>
        <v>3.7369000000000012</v>
      </c>
      <c r="H17" s="360">
        <f>skupaj_predlog1!Q25</f>
        <v>1.1571495496495685</v>
      </c>
      <c r="I17" s="359">
        <f>I10+I13+I16</f>
        <v>8.5510000000000019</v>
      </c>
      <c r="J17" s="360">
        <f>skupaj_predlog1!AB25</f>
        <v>1.4508794020192819</v>
      </c>
      <c r="K17" s="423"/>
      <c r="L17" s="423"/>
      <c r="M17" s="424"/>
      <c r="N17" s="359">
        <f>N10+N13</f>
        <v>2.5965296999999996</v>
      </c>
      <c r="O17" s="360">
        <f>'skupaj_ predlog2'!O32</f>
        <v>1.1091961566723234</v>
      </c>
      <c r="P17" s="359">
        <f>P10+P13+P16</f>
        <v>6.4936516999999991</v>
      </c>
      <c r="Q17" s="360">
        <f>'skupaj_ predlog2'!V32</f>
        <v>1.3424107943036157</v>
      </c>
      <c r="R17" s="423"/>
      <c r="S17" s="423"/>
      <c r="T17" s="424"/>
      <c r="U17" s="359">
        <f>'skupaj_ predlog2_znižano Pr'!N32</f>
        <v>1.5363068999999991</v>
      </c>
      <c r="V17" s="360">
        <f>'skupaj_ predlog2_znižano Pr'!O32</f>
        <v>1.0646088542523398</v>
      </c>
      <c r="W17" s="359">
        <f>'skupaj_ predlog2_znižano Pr'!U32</f>
        <v>5.4334288999999991</v>
      </c>
      <c r="X17" s="360">
        <f>'skupaj_ predlog2_znižano Pr'!V32</f>
        <v>1.2865051578669087</v>
      </c>
      <c r="Z17" s="371"/>
      <c r="AA17" s="359">
        <f>AA10+AA13</f>
        <v>-1.6942935000000006</v>
      </c>
      <c r="AB17" s="360">
        <f>'skupaj_ var3_Prevalje_FIKS.DEL'!O32</f>
        <v>0.92874707403697343</v>
      </c>
      <c r="AC17" s="359">
        <f>AC10+AC13</f>
        <v>3.1197814999999993</v>
      </c>
      <c r="AD17" s="360">
        <f>'skupaj_ var3_Prevalje_FIKS.DEL'!V32</f>
        <v>1.1645063380083545</v>
      </c>
      <c r="AF17" s="371"/>
      <c r="AG17" s="359">
        <f>AG10+AG13</f>
        <v>9.4936499999998869E-2</v>
      </c>
      <c r="AH17" s="360">
        <f>'skupaj_ var1_Prevalje '!O32</f>
        <v>1.0039925216060197</v>
      </c>
      <c r="AI17" s="359">
        <f>AI10+AI13+AI16</f>
        <v>3.9920584999999984</v>
      </c>
      <c r="AJ17" s="360">
        <f>'skupaj_ var1_Prevalje '!V32</f>
        <v>1.2105015767771314</v>
      </c>
    </row>
    <row r="18" spans="1:36" ht="16.5" thickTop="1" x14ac:dyDescent="0.25">
      <c r="N18" s="341"/>
      <c r="O18" s="341"/>
      <c r="P18" s="341"/>
      <c r="Q18" s="341"/>
    </row>
    <row r="19" spans="1:36" s="375" customFormat="1" x14ac:dyDescent="0.25">
      <c r="A19" s="375" t="s">
        <v>122</v>
      </c>
      <c r="G19" s="425"/>
      <c r="N19" s="560" t="s">
        <v>123</v>
      </c>
      <c r="O19" s="561"/>
      <c r="P19" s="561"/>
      <c r="Q19" s="562"/>
      <c r="U19" s="560" t="s">
        <v>123</v>
      </c>
      <c r="V19" s="561"/>
      <c r="W19" s="561"/>
      <c r="X19" s="562"/>
      <c r="Z19" s="569" t="s">
        <v>124</v>
      </c>
      <c r="AA19" s="570"/>
      <c r="AB19" s="570"/>
      <c r="AC19" s="570"/>
      <c r="AD19" s="571"/>
      <c r="AF19" s="569" t="s">
        <v>124</v>
      </c>
      <c r="AG19" s="570"/>
      <c r="AH19" s="570"/>
      <c r="AI19" s="570"/>
      <c r="AJ19" s="571"/>
    </row>
    <row r="20" spans="1:36" x14ac:dyDescent="0.25">
      <c r="Z20" s="376" t="s">
        <v>125</v>
      </c>
      <c r="AA20" s="376"/>
      <c r="AB20" s="376"/>
      <c r="AC20" s="376"/>
      <c r="AD20" s="376"/>
      <c r="AF20" s="376" t="s">
        <v>125</v>
      </c>
      <c r="AG20" s="376"/>
      <c r="AH20" s="376"/>
      <c r="AI20" s="376"/>
      <c r="AJ20" s="376"/>
    </row>
    <row r="21" spans="1:36" x14ac:dyDescent="0.25">
      <c r="Z21" s="376" t="s">
        <v>126</v>
      </c>
      <c r="AA21" s="376"/>
      <c r="AB21" s="376"/>
      <c r="AC21" s="376"/>
      <c r="AD21" s="376"/>
      <c r="AF21" s="376" t="s">
        <v>127</v>
      </c>
      <c r="AG21" s="376"/>
      <c r="AH21" s="376"/>
      <c r="AI21" s="376"/>
      <c r="AJ21" s="376"/>
    </row>
    <row r="22" spans="1:36" x14ac:dyDescent="0.25">
      <c r="Z22" s="376"/>
      <c r="AA22" s="376"/>
      <c r="AB22" s="376"/>
      <c r="AC22" s="376"/>
      <c r="AD22" s="376"/>
      <c r="AF22" s="376"/>
      <c r="AG22" s="376"/>
      <c r="AH22" s="376"/>
      <c r="AI22" s="376"/>
      <c r="AJ22" s="376"/>
    </row>
    <row r="23" spans="1:36" x14ac:dyDescent="0.25">
      <c r="N23" s="403" t="s">
        <v>139</v>
      </c>
      <c r="U23" s="403" t="s">
        <v>139</v>
      </c>
      <c r="Z23" s="403" t="s">
        <v>139</v>
      </c>
      <c r="AA23" s="376"/>
      <c r="AB23" s="376"/>
      <c r="AC23" s="376"/>
      <c r="AD23" s="376"/>
      <c r="AF23" s="403" t="s">
        <v>139</v>
      </c>
      <c r="AG23" s="376"/>
      <c r="AH23" s="376"/>
      <c r="AI23" s="376"/>
      <c r="AJ23" s="376"/>
    </row>
    <row r="24" spans="1:36" ht="68.25" customHeight="1" x14ac:dyDescent="0.25">
      <c r="N24" s="375" t="s">
        <v>144</v>
      </c>
      <c r="U24" s="553" t="s">
        <v>138</v>
      </c>
      <c r="V24" s="553"/>
      <c r="W24" s="553"/>
      <c r="X24" s="553"/>
      <c r="Z24" s="553" t="s">
        <v>136</v>
      </c>
      <c r="AA24" s="553"/>
      <c r="AB24" s="553"/>
      <c r="AC24" s="553"/>
      <c r="AD24" s="553"/>
      <c r="AF24" s="553" t="s">
        <v>137</v>
      </c>
      <c r="AG24" s="553"/>
      <c r="AH24" s="553"/>
      <c r="AI24" s="553"/>
      <c r="AJ24" s="553"/>
    </row>
    <row r="25" spans="1:36" x14ac:dyDescent="0.25">
      <c r="S25" s="2"/>
      <c r="U25" s="404"/>
      <c r="V25" s="405"/>
      <c r="Z25" s="376"/>
      <c r="AA25" s="376"/>
      <c r="AB25" s="376"/>
      <c r="AC25" s="376"/>
      <c r="AD25" s="376"/>
    </row>
    <row r="26" spans="1:36" x14ac:dyDescent="0.25">
      <c r="S26" s="2"/>
      <c r="U26" s="404"/>
      <c r="V26" s="405"/>
      <c r="AA26" s="376"/>
      <c r="AB26" s="376"/>
      <c r="AC26" s="376"/>
      <c r="AD26" s="376"/>
    </row>
    <row r="27" spans="1:36" x14ac:dyDescent="0.25">
      <c r="AA27" s="376"/>
      <c r="AB27" s="376"/>
      <c r="AC27" s="376"/>
      <c r="AD27" s="376"/>
    </row>
  </sheetData>
  <sortState ref="A6:H13">
    <sortCondition ref="A6:A13"/>
  </sortState>
  <mergeCells count="38">
    <mergeCell ref="E5:J5"/>
    <mergeCell ref="E6:F6"/>
    <mergeCell ref="G6:H6"/>
    <mergeCell ref="I6:J6"/>
    <mergeCell ref="H8:H16"/>
    <mergeCell ref="J8:J16"/>
    <mergeCell ref="AF24:AJ24"/>
    <mergeCell ref="S5:X5"/>
    <mergeCell ref="V8:V16"/>
    <mergeCell ref="X8:X16"/>
    <mergeCell ref="AD8:AD16"/>
    <mergeCell ref="AB8:AB16"/>
    <mergeCell ref="AJ8:AJ16"/>
    <mergeCell ref="AH8:AH16"/>
    <mergeCell ref="AF5:AJ5"/>
    <mergeCell ref="AF6:AF7"/>
    <mergeCell ref="AG6:AH6"/>
    <mergeCell ref="AI6:AJ6"/>
    <mergeCell ref="U19:X19"/>
    <mergeCell ref="Z19:AD19"/>
    <mergeCell ref="AF19:AJ19"/>
    <mergeCell ref="AA6:AB6"/>
    <mergeCell ref="C6:D6"/>
    <mergeCell ref="S6:T6"/>
    <mergeCell ref="L5:Q5"/>
    <mergeCell ref="U24:X24"/>
    <mergeCell ref="Z24:AD24"/>
    <mergeCell ref="AC6:AD6"/>
    <mergeCell ref="Z5:AD5"/>
    <mergeCell ref="Z6:Z7"/>
    <mergeCell ref="U6:V6"/>
    <mergeCell ref="W6:X6"/>
    <mergeCell ref="N19:Q19"/>
    <mergeCell ref="L6:M6"/>
    <mergeCell ref="N6:O6"/>
    <mergeCell ref="P6:Q6"/>
    <mergeCell ref="O8:O16"/>
    <mergeCell ref="Q8:Q16"/>
  </mergeCells>
  <pageMargins left="0.15748031496062992" right="0.15748031496062992" top="0.47244094488188981" bottom="0.31496062992125984" header="0.15748031496062992" footer="0.15748031496062992"/>
  <pageSetup paperSize="9" scale="86" fitToWidth="3" fitToHeight="3" orientation="landscape" r:id="rId1"/>
  <headerFooter>
    <oddHeader>&amp;L&amp;G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9"/>
  <sheetViews>
    <sheetView workbookViewId="0">
      <pane xSplit="4" ySplit="15" topLeftCell="U16" activePane="bottomRight" state="frozen"/>
      <selection pane="topRight" activeCell="E1" sqref="E1"/>
      <selection pane="bottomLeft" activeCell="A16" sqref="A16"/>
      <selection pane="bottomRight" activeCell="B25" sqref="B25:D25"/>
    </sheetView>
  </sheetViews>
  <sheetFormatPr defaultRowHeight="15.75" outlineLevelRow="1" outlineLevelCol="1" x14ac:dyDescent="0.25"/>
  <cols>
    <col min="1" max="1" width="10.7109375" customWidth="1"/>
    <col min="2" max="2" width="17.5703125" customWidth="1"/>
    <col min="3" max="3" width="31" customWidth="1"/>
    <col min="4" max="4" width="10.28515625" customWidth="1"/>
    <col min="5" max="10" width="22.5703125" customWidth="1" outlineLevel="1"/>
    <col min="11" max="13" width="14.42578125" customWidth="1"/>
    <col min="14" max="14" width="14.42578125" hidden="1" customWidth="1"/>
    <col min="15" max="15" width="15.7109375" customWidth="1"/>
    <col min="16" max="16" width="14.42578125" hidden="1" customWidth="1"/>
    <col min="17" max="17" width="18.7109375" customWidth="1"/>
    <col min="18" max="18" width="3.5703125" customWidth="1"/>
    <col min="19" max="19" width="12.7109375" customWidth="1"/>
    <col min="20" max="20" width="11.7109375" customWidth="1"/>
    <col min="21" max="21" width="14.42578125" hidden="1" customWidth="1"/>
    <col min="22" max="22" width="14.42578125" customWidth="1"/>
    <col min="23" max="23" width="14.42578125" hidden="1" customWidth="1"/>
    <col min="24" max="24" width="14.42578125" customWidth="1"/>
    <col min="25" max="25" width="14.42578125" hidden="1" customWidth="1"/>
    <col min="26" max="26" width="14.42578125" customWidth="1"/>
    <col min="27" max="27" width="14.42578125" hidden="1" customWidth="1"/>
    <col min="28" max="28" width="19" customWidth="1"/>
  </cols>
  <sheetData>
    <row r="1" spans="1:28" ht="21" thickBot="1" x14ac:dyDescent="0.35">
      <c r="A1" s="124" t="s">
        <v>47</v>
      </c>
      <c r="B1" s="125"/>
      <c r="C1" s="125"/>
    </row>
    <row r="2" spans="1:28" ht="19.5" thickTop="1" x14ac:dyDescent="0.3">
      <c r="A2" s="431" t="s">
        <v>48</v>
      </c>
      <c r="B2" s="431"/>
      <c r="C2" s="431"/>
      <c r="D2" s="431"/>
      <c r="K2" s="250" t="s">
        <v>84</v>
      </c>
      <c r="L2" s="242">
        <v>3.8</v>
      </c>
      <c r="M2" s="249" t="s">
        <v>83</v>
      </c>
    </row>
    <row r="3" spans="1:28" ht="45.75" customHeight="1" x14ac:dyDescent="0.25">
      <c r="K3" s="512" t="s">
        <v>69</v>
      </c>
      <c r="L3" s="513"/>
      <c r="M3" s="513"/>
      <c r="N3" s="513"/>
      <c r="O3" s="513"/>
      <c r="P3" s="513"/>
      <c r="Q3" s="514"/>
      <c r="S3" s="512" t="s">
        <v>70</v>
      </c>
      <c r="T3" s="513"/>
      <c r="U3" s="513"/>
      <c r="V3" s="513"/>
      <c r="W3" s="513"/>
      <c r="X3" s="513"/>
      <c r="Y3" s="513"/>
      <c r="Z3" s="513"/>
      <c r="AA3" s="513"/>
      <c r="AB3" s="514"/>
    </row>
    <row r="4" spans="1:28" s="174" customFormat="1" ht="51.75" customHeight="1" x14ac:dyDescent="0.2">
      <c r="E4" s="525" t="s">
        <v>49</v>
      </c>
      <c r="F4" s="526"/>
      <c r="G4" s="525" t="s">
        <v>15</v>
      </c>
      <c r="H4" s="526"/>
      <c r="I4" s="175"/>
      <c r="J4" s="176"/>
      <c r="K4" s="245" t="s">
        <v>65</v>
      </c>
      <c r="L4" s="244" t="s">
        <v>67</v>
      </c>
      <c r="M4" s="528" t="s">
        <v>68</v>
      </c>
      <c r="N4" s="529"/>
      <c r="O4" s="528" t="s">
        <v>57</v>
      </c>
      <c r="P4" s="529"/>
      <c r="Q4" s="177" t="s">
        <v>66</v>
      </c>
      <c r="S4" s="530" t="s">
        <v>65</v>
      </c>
      <c r="T4" s="530"/>
      <c r="U4" s="530"/>
      <c r="V4" s="528" t="s">
        <v>67</v>
      </c>
      <c r="W4" s="529"/>
      <c r="X4" s="528" t="s">
        <v>68</v>
      </c>
      <c r="Y4" s="529"/>
      <c r="Z4" s="528" t="s">
        <v>57</v>
      </c>
      <c r="AA4" s="529"/>
      <c r="AB4" s="177" t="s">
        <v>66</v>
      </c>
    </row>
    <row r="5" spans="1:28" ht="33.75" customHeight="1" thickBot="1" x14ac:dyDescent="0.3">
      <c r="A5" s="166" t="s">
        <v>0</v>
      </c>
      <c r="B5" s="167" t="s">
        <v>1</v>
      </c>
      <c r="C5" s="167" t="s">
        <v>2</v>
      </c>
      <c r="D5" s="178" t="s">
        <v>3</v>
      </c>
      <c r="E5" s="49" t="s">
        <v>63</v>
      </c>
      <c r="F5" s="168" t="s">
        <v>64</v>
      </c>
      <c r="G5" s="49" t="s">
        <v>63</v>
      </c>
      <c r="H5" s="168" t="s">
        <v>64</v>
      </c>
      <c r="I5" s="50" t="s">
        <v>33</v>
      </c>
      <c r="J5" s="50" t="s">
        <v>50</v>
      </c>
      <c r="K5" s="169" t="s">
        <v>31</v>
      </c>
      <c r="L5" s="171" t="s">
        <v>31</v>
      </c>
      <c r="M5" s="171" t="s">
        <v>31</v>
      </c>
      <c r="N5" s="172" t="s">
        <v>32</v>
      </c>
      <c r="O5" s="169" t="s">
        <v>31</v>
      </c>
      <c r="P5" s="170" t="s">
        <v>32</v>
      </c>
      <c r="Q5" s="173" t="s">
        <v>41</v>
      </c>
      <c r="S5" s="161" t="s">
        <v>71</v>
      </c>
      <c r="T5" s="161" t="s">
        <v>72</v>
      </c>
      <c r="U5" s="122" t="s">
        <v>32</v>
      </c>
      <c r="V5" s="162" t="s">
        <v>74</v>
      </c>
      <c r="W5" s="123" t="s">
        <v>32</v>
      </c>
      <c r="X5" s="119" t="s">
        <v>31</v>
      </c>
      <c r="Y5" s="123" t="s">
        <v>32</v>
      </c>
      <c r="Z5" s="121" t="s">
        <v>31</v>
      </c>
      <c r="AA5" s="122" t="s">
        <v>32</v>
      </c>
      <c r="AB5" s="120" t="s">
        <v>41</v>
      </c>
    </row>
    <row r="6" spans="1:28" ht="27.75" customHeight="1" outlineLevel="1" x14ac:dyDescent="0.3">
      <c r="A6" s="464" t="s">
        <v>5</v>
      </c>
      <c r="B6" s="519" t="s">
        <v>6</v>
      </c>
      <c r="C6" s="143" t="s">
        <v>30</v>
      </c>
      <c r="D6" s="144" t="s">
        <v>7</v>
      </c>
      <c r="E6" s="145">
        <v>3.7061999999999999</v>
      </c>
      <c r="F6" s="146">
        <f>ROUND((E6*1.095),4)</f>
        <v>4.0583</v>
      </c>
      <c r="G6" s="147">
        <v>2.1267</v>
      </c>
      <c r="H6" s="146">
        <f>ROUND((G6*1.095),4)</f>
        <v>2.3287</v>
      </c>
      <c r="I6" s="148">
        <f>H6-F6</f>
        <v>-1.7296</v>
      </c>
      <c r="J6" s="149">
        <f>G6/E6</f>
        <v>0.57382224380767366</v>
      </c>
      <c r="K6" s="188">
        <v>1</v>
      </c>
      <c r="L6" s="190">
        <f>K6*F6</f>
        <v>4.0583</v>
      </c>
      <c r="M6" s="190">
        <f>K6*H6</f>
        <v>2.3287</v>
      </c>
      <c r="N6" s="191">
        <f>M6*12</f>
        <v>27.944400000000002</v>
      </c>
      <c r="O6" s="190">
        <f>M6-L6</f>
        <v>-1.7296</v>
      </c>
      <c r="P6" s="191" t="e">
        <f>N6-#REF!</f>
        <v>#REF!</v>
      </c>
      <c r="Q6" s="192">
        <f t="shared" ref="Q6:Q12" si="0">M6/L6</f>
        <v>0.57381169455190595</v>
      </c>
      <c r="R6" s="193"/>
      <c r="S6" s="194" t="s">
        <v>73</v>
      </c>
      <c r="T6" s="188">
        <v>1</v>
      </c>
      <c r="U6" s="189">
        <f>T6*12</f>
        <v>12</v>
      </c>
      <c r="V6" s="190">
        <v>0.83630000000000004</v>
      </c>
      <c r="W6" s="191">
        <f>V6*12</f>
        <v>10.035600000000001</v>
      </c>
      <c r="X6" s="190">
        <f>T6*H6</f>
        <v>2.3287</v>
      </c>
      <c r="Y6" s="191">
        <f>X6*12</f>
        <v>27.944400000000002</v>
      </c>
      <c r="Z6" s="190">
        <f t="shared" ref="Z6:AA8" si="1">X6-V6</f>
        <v>1.4923999999999999</v>
      </c>
      <c r="AA6" s="191">
        <f t="shared" si="1"/>
        <v>17.908799999999999</v>
      </c>
      <c r="AB6" s="192">
        <f t="shared" ref="AB6:AB30" si="2">X6/V6</f>
        <v>2.7845270835824465</v>
      </c>
    </row>
    <row r="7" spans="1:28" ht="27.75" customHeight="1" outlineLevel="1" x14ac:dyDescent="0.3">
      <c r="A7" s="464"/>
      <c r="B7" s="519"/>
      <c r="C7" s="3" t="s">
        <v>8</v>
      </c>
      <c r="D7" s="76" t="s">
        <v>9</v>
      </c>
      <c r="E7" s="12">
        <v>0.29499999999999998</v>
      </c>
      <c r="F7" s="69">
        <f t="shared" ref="F7:H8" si="3">ROUND((E7*1.095),4)</f>
        <v>0.32300000000000001</v>
      </c>
      <c r="G7" s="59">
        <v>0.52210000000000001</v>
      </c>
      <c r="H7" s="69">
        <f t="shared" si="3"/>
        <v>0.57169999999999999</v>
      </c>
      <c r="I7" s="64">
        <f t="shared" ref="I7:I28" si="4">H7-F7</f>
        <v>0.24869999999999998</v>
      </c>
      <c r="J7" s="113">
        <f t="shared" ref="J7:J28" si="5">G7/E7</f>
        <v>1.7698305084745765</v>
      </c>
      <c r="K7" s="195">
        <f>4*$L$2</f>
        <v>15.2</v>
      </c>
      <c r="L7" s="197">
        <f>K7*F7</f>
        <v>4.9096000000000002</v>
      </c>
      <c r="M7" s="197">
        <f>K7*H7</f>
        <v>8.6898400000000002</v>
      </c>
      <c r="N7" s="198">
        <f t="shared" ref="N7:N28" si="6">M7*12</f>
        <v>104.27808</v>
      </c>
      <c r="O7" s="197">
        <f>M7-L7</f>
        <v>3.78024</v>
      </c>
      <c r="P7" s="198" t="e">
        <f>N7-#REF!</f>
        <v>#REF!</v>
      </c>
      <c r="Q7" s="199">
        <f t="shared" si="0"/>
        <v>1.769969040247678</v>
      </c>
      <c r="R7" s="193"/>
      <c r="S7" s="195">
        <f t="shared" ref="S7:T8" si="7">4*$L$2</f>
        <v>15.2</v>
      </c>
      <c r="T7" s="195">
        <f t="shared" si="7"/>
        <v>15.2</v>
      </c>
      <c r="U7" s="196">
        <f t="shared" ref="U7:U8" si="8">T7*12</f>
        <v>182.39999999999998</v>
      </c>
      <c r="V7" s="197">
        <f>S7*F7</f>
        <v>4.9096000000000002</v>
      </c>
      <c r="W7" s="198">
        <f>V7*12</f>
        <v>58.915199999999999</v>
      </c>
      <c r="X7" s="197">
        <f>T7*H7</f>
        <v>8.6898400000000002</v>
      </c>
      <c r="Y7" s="198">
        <f t="shared" ref="Y7:Y8" si="9">X7*12</f>
        <v>104.27808</v>
      </c>
      <c r="Z7" s="197">
        <f t="shared" si="1"/>
        <v>3.78024</v>
      </c>
      <c r="AA7" s="198">
        <f t="shared" si="1"/>
        <v>45.362880000000004</v>
      </c>
      <c r="AB7" s="199">
        <f t="shared" si="2"/>
        <v>1.769969040247678</v>
      </c>
    </row>
    <row r="8" spans="1:28" ht="27.75" customHeight="1" outlineLevel="1" x14ac:dyDescent="0.3">
      <c r="A8" s="464"/>
      <c r="B8" s="519"/>
      <c r="C8" s="4" t="s">
        <v>10</v>
      </c>
      <c r="D8" s="77" t="s">
        <v>9</v>
      </c>
      <c r="E8" s="9">
        <v>6.3799999999999996E-2</v>
      </c>
      <c r="F8" s="70">
        <f t="shared" si="3"/>
        <v>6.9900000000000004E-2</v>
      </c>
      <c r="G8" s="60">
        <v>6.3799999999999996E-2</v>
      </c>
      <c r="H8" s="70">
        <f t="shared" si="3"/>
        <v>6.9900000000000004E-2</v>
      </c>
      <c r="I8" s="65">
        <f t="shared" si="4"/>
        <v>0</v>
      </c>
      <c r="J8" s="114">
        <f t="shared" si="5"/>
        <v>1</v>
      </c>
      <c r="K8" s="200">
        <f>4*$L$2</f>
        <v>15.2</v>
      </c>
      <c r="L8" s="202">
        <f>K8*F8</f>
        <v>1.0624800000000001</v>
      </c>
      <c r="M8" s="202">
        <f>K8*H8</f>
        <v>1.0624800000000001</v>
      </c>
      <c r="N8" s="203">
        <f t="shared" si="6"/>
        <v>12.749760000000002</v>
      </c>
      <c r="O8" s="202">
        <f>M8-L8</f>
        <v>0</v>
      </c>
      <c r="P8" s="203" t="e">
        <f>N8-#REF!</f>
        <v>#REF!</v>
      </c>
      <c r="Q8" s="204">
        <f t="shared" si="0"/>
        <v>1</v>
      </c>
      <c r="R8" s="193"/>
      <c r="S8" s="200">
        <f t="shared" si="7"/>
        <v>15.2</v>
      </c>
      <c r="T8" s="200">
        <f t="shared" si="7"/>
        <v>15.2</v>
      </c>
      <c r="U8" s="201">
        <f t="shared" si="8"/>
        <v>182.39999999999998</v>
      </c>
      <c r="V8" s="202">
        <f>S8*F8</f>
        <v>1.0624800000000001</v>
      </c>
      <c r="W8" s="203">
        <f>V8*12</f>
        <v>12.749760000000002</v>
      </c>
      <c r="X8" s="202">
        <f>T8*H8</f>
        <v>1.0624800000000001</v>
      </c>
      <c r="Y8" s="203">
        <f t="shared" si="9"/>
        <v>12.749760000000002</v>
      </c>
      <c r="Z8" s="202">
        <f t="shared" si="1"/>
        <v>0</v>
      </c>
      <c r="AA8" s="203">
        <f t="shared" si="1"/>
        <v>0</v>
      </c>
      <c r="AB8" s="204">
        <f t="shared" si="2"/>
        <v>1</v>
      </c>
    </row>
    <row r="9" spans="1:28" ht="27.75" customHeight="1" outlineLevel="1" x14ac:dyDescent="0.3">
      <c r="A9" s="464"/>
      <c r="B9" s="520"/>
      <c r="C9" s="154" t="s">
        <v>60</v>
      </c>
      <c r="D9" s="139"/>
      <c r="E9" s="150"/>
      <c r="F9" s="140"/>
      <c r="G9" s="150"/>
      <c r="H9" s="140"/>
      <c r="I9" s="151"/>
      <c r="J9" s="163"/>
      <c r="K9" s="205"/>
      <c r="L9" s="207">
        <f>SUM(L6:L8)</f>
        <v>10.030380000000001</v>
      </c>
      <c r="M9" s="207">
        <f t="shared" ref="M9:P9" si="10">SUM(M6:M8)</f>
        <v>12.081020000000001</v>
      </c>
      <c r="N9" s="208">
        <f t="shared" si="10"/>
        <v>144.97224000000003</v>
      </c>
      <c r="O9" s="207">
        <f t="shared" si="10"/>
        <v>2.05064</v>
      </c>
      <c r="P9" s="208" t="e">
        <f t="shared" si="10"/>
        <v>#REF!</v>
      </c>
      <c r="Q9" s="209">
        <f t="shared" si="0"/>
        <v>1.2044429024623193</v>
      </c>
      <c r="R9" s="193"/>
      <c r="S9" s="205"/>
      <c r="T9" s="205"/>
      <c r="U9" s="206"/>
      <c r="V9" s="207">
        <f>SUM(V6:V8)</f>
        <v>6.8083800000000005</v>
      </c>
      <c r="W9" s="207">
        <f t="shared" ref="W9:X9" si="11">SUM(W6:W8)</f>
        <v>81.700559999999996</v>
      </c>
      <c r="X9" s="207">
        <f t="shared" si="11"/>
        <v>12.081020000000001</v>
      </c>
      <c r="Y9" s="208">
        <f t="shared" ref="Y9" si="12">SUM(Y6:Y8)</f>
        <v>144.97224000000003</v>
      </c>
      <c r="Z9" s="207">
        <f t="shared" ref="Z9" si="13">SUM(Z6:Z8)</f>
        <v>5.27264</v>
      </c>
      <c r="AA9" s="208">
        <f t="shared" ref="AA9" si="14">SUM(AA6:AA8)</f>
        <v>63.271680000000003</v>
      </c>
      <c r="AB9" s="209">
        <f t="shared" si="2"/>
        <v>1.774433859449678</v>
      </c>
    </row>
    <row r="10" spans="1:28" ht="27.75" customHeight="1" outlineLevel="1" x14ac:dyDescent="0.3">
      <c r="A10" s="464"/>
      <c r="B10" s="521" t="s">
        <v>11</v>
      </c>
      <c r="C10" s="143" t="s">
        <v>30</v>
      </c>
      <c r="D10" s="144" t="s">
        <v>7</v>
      </c>
      <c r="E10" s="145">
        <v>3.6331000000000002</v>
      </c>
      <c r="F10" s="146">
        <f>ROUND((E10*1.095),4)</f>
        <v>3.9782000000000002</v>
      </c>
      <c r="G10" s="147">
        <v>3.5095000000000001</v>
      </c>
      <c r="H10" s="146">
        <f>ROUND((G10*1.095),4)</f>
        <v>3.8429000000000002</v>
      </c>
      <c r="I10" s="148">
        <f t="shared" si="4"/>
        <v>-0.13529999999999998</v>
      </c>
      <c r="J10" s="149">
        <f t="shared" si="5"/>
        <v>0.96597946657124767</v>
      </c>
      <c r="K10" s="188">
        <v>1</v>
      </c>
      <c r="L10" s="190">
        <f>K10*F10</f>
        <v>3.9782000000000002</v>
      </c>
      <c r="M10" s="190">
        <f>K10*H10</f>
        <v>3.8429000000000002</v>
      </c>
      <c r="N10" s="191">
        <f t="shared" si="6"/>
        <v>46.114800000000002</v>
      </c>
      <c r="O10" s="190">
        <f>M10-L10</f>
        <v>-0.13529999999999998</v>
      </c>
      <c r="P10" s="191" t="e">
        <f>N10-#REF!</f>
        <v>#REF!</v>
      </c>
      <c r="Q10" s="192">
        <f t="shared" si="0"/>
        <v>0.96598964355738781</v>
      </c>
      <c r="R10" s="193"/>
      <c r="S10" s="194" t="s">
        <v>73</v>
      </c>
      <c r="T10" s="188">
        <v>1</v>
      </c>
      <c r="U10" s="189">
        <f t="shared" ref="U10:U12" si="15">T10*12</f>
        <v>12</v>
      </c>
      <c r="V10" s="190">
        <v>0.82199999999999995</v>
      </c>
      <c r="W10" s="191">
        <f>V10*12</f>
        <v>9.863999999999999</v>
      </c>
      <c r="X10" s="190">
        <f>T10*H10</f>
        <v>3.8429000000000002</v>
      </c>
      <c r="Y10" s="191">
        <f t="shared" ref="Y10:Y12" si="16">X10*12</f>
        <v>46.114800000000002</v>
      </c>
      <c r="Z10" s="190">
        <f t="shared" ref="Z10:AA12" si="17">X10-V10</f>
        <v>3.0209000000000001</v>
      </c>
      <c r="AA10" s="191">
        <f t="shared" si="17"/>
        <v>36.250800000000005</v>
      </c>
      <c r="AB10" s="192">
        <f>X10/V10</f>
        <v>4.6750608272506087</v>
      </c>
    </row>
    <row r="11" spans="1:28" ht="27.75" customHeight="1" outlineLevel="1" x14ac:dyDescent="0.3">
      <c r="A11" s="464"/>
      <c r="B11" s="522"/>
      <c r="C11" s="3" t="s">
        <v>8</v>
      </c>
      <c r="D11" s="76" t="s">
        <v>9</v>
      </c>
      <c r="E11" s="12">
        <v>0.21279999999999999</v>
      </c>
      <c r="F11" s="69">
        <f>ROUND((E11*1.095),4)</f>
        <v>0.23300000000000001</v>
      </c>
      <c r="G11" s="59">
        <v>0.29909999999999998</v>
      </c>
      <c r="H11" s="69">
        <f>ROUND((G11*1.095),4)</f>
        <v>0.32750000000000001</v>
      </c>
      <c r="I11" s="64">
        <f t="shared" si="4"/>
        <v>9.4500000000000001E-2</v>
      </c>
      <c r="J11" s="113">
        <f t="shared" si="5"/>
        <v>1.4055451127819549</v>
      </c>
      <c r="K11" s="195">
        <f>4*$L$2</f>
        <v>15.2</v>
      </c>
      <c r="L11" s="197">
        <f>K11*F11</f>
        <v>3.5415999999999999</v>
      </c>
      <c r="M11" s="197">
        <f>K11*H11</f>
        <v>4.9779999999999998</v>
      </c>
      <c r="N11" s="198">
        <f t="shared" si="6"/>
        <v>59.735999999999997</v>
      </c>
      <c r="O11" s="197">
        <f>M11-L11</f>
        <v>1.4363999999999999</v>
      </c>
      <c r="P11" s="198" t="e">
        <f>N11-#REF!</f>
        <v>#REF!</v>
      </c>
      <c r="Q11" s="199">
        <f t="shared" si="0"/>
        <v>1.405579399141631</v>
      </c>
      <c r="R11" s="193"/>
      <c r="S11" s="195">
        <f t="shared" ref="S11:T12" si="18">4*$L$2</f>
        <v>15.2</v>
      </c>
      <c r="T11" s="195">
        <f t="shared" si="18"/>
        <v>15.2</v>
      </c>
      <c r="U11" s="196">
        <f t="shared" si="15"/>
        <v>182.39999999999998</v>
      </c>
      <c r="V11" s="197">
        <f>S11*F11</f>
        <v>3.5415999999999999</v>
      </c>
      <c r="W11" s="198">
        <f>V11*12</f>
        <v>42.499200000000002</v>
      </c>
      <c r="X11" s="197">
        <f>T11*H11</f>
        <v>4.9779999999999998</v>
      </c>
      <c r="Y11" s="198">
        <f t="shared" si="16"/>
        <v>59.735999999999997</v>
      </c>
      <c r="Z11" s="197">
        <f t="shared" si="17"/>
        <v>1.4363999999999999</v>
      </c>
      <c r="AA11" s="198">
        <f t="shared" si="17"/>
        <v>17.236799999999995</v>
      </c>
      <c r="AB11" s="199">
        <f t="shared" si="2"/>
        <v>1.405579399141631</v>
      </c>
    </row>
    <row r="12" spans="1:28" ht="27.75" customHeight="1" outlineLevel="1" x14ac:dyDescent="0.3">
      <c r="A12" s="464"/>
      <c r="B12" s="522"/>
      <c r="C12" s="3" t="s">
        <v>42</v>
      </c>
      <c r="D12" s="76" t="s">
        <v>9</v>
      </c>
      <c r="E12" s="12">
        <v>0.52829999999999999</v>
      </c>
      <c r="F12" s="69">
        <f>E12</f>
        <v>0.52829999999999999</v>
      </c>
      <c r="G12" s="59">
        <v>0.52829999999999999</v>
      </c>
      <c r="H12" s="69">
        <f>G12</f>
        <v>0.52829999999999999</v>
      </c>
      <c r="I12" s="64">
        <f t="shared" si="4"/>
        <v>0</v>
      </c>
      <c r="J12" s="113">
        <f t="shared" si="5"/>
        <v>1</v>
      </c>
      <c r="K12" s="195">
        <f>4*$L$2</f>
        <v>15.2</v>
      </c>
      <c r="L12" s="197">
        <f>K12*F12</f>
        <v>8.0301599999999986</v>
      </c>
      <c r="M12" s="197">
        <f>K12*H12</f>
        <v>8.0301599999999986</v>
      </c>
      <c r="N12" s="198">
        <f t="shared" si="6"/>
        <v>96.361919999999984</v>
      </c>
      <c r="O12" s="197">
        <f>M12-L12</f>
        <v>0</v>
      </c>
      <c r="P12" s="198" t="e">
        <f>N12-#REF!</f>
        <v>#REF!</v>
      </c>
      <c r="Q12" s="199">
        <f t="shared" si="0"/>
        <v>1</v>
      </c>
      <c r="R12" s="193"/>
      <c r="S12" s="195">
        <f t="shared" si="18"/>
        <v>15.2</v>
      </c>
      <c r="T12" s="195">
        <f t="shared" si="18"/>
        <v>15.2</v>
      </c>
      <c r="U12" s="196">
        <f t="shared" si="15"/>
        <v>182.39999999999998</v>
      </c>
      <c r="V12" s="197">
        <f>S12*F12</f>
        <v>8.0301599999999986</v>
      </c>
      <c r="W12" s="198">
        <f>V12*12</f>
        <v>96.361919999999984</v>
      </c>
      <c r="X12" s="197">
        <f>T12*H12</f>
        <v>8.0301599999999986</v>
      </c>
      <c r="Y12" s="198">
        <f t="shared" si="16"/>
        <v>96.361919999999984</v>
      </c>
      <c r="Z12" s="197">
        <f t="shared" si="17"/>
        <v>0</v>
      </c>
      <c r="AA12" s="198">
        <f t="shared" si="17"/>
        <v>0</v>
      </c>
      <c r="AB12" s="199">
        <f t="shared" si="2"/>
        <v>1</v>
      </c>
    </row>
    <row r="13" spans="1:28" ht="27.75" customHeight="1" outlineLevel="1" x14ac:dyDescent="0.3">
      <c r="A13" s="464"/>
      <c r="B13" s="523"/>
      <c r="C13" s="180" t="s">
        <v>75</v>
      </c>
      <c r="D13" s="76" t="s">
        <v>9</v>
      </c>
      <c r="E13" s="181">
        <v>48.2</v>
      </c>
      <c r="F13" s="185">
        <v>52.78</v>
      </c>
      <c r="G13" s="182">
        <v>49.392000000000003</v>
      </c>
      <c r="H13" s="185">
        <f>ROUND((G13*1.095),4)</f>
        <v>54.084200000000003</v>
      </c>
      <c r="I13" s="183">
        <f t="shared" ref="I13" si="19">H13-F13</f>
        <v>1.3042000000000016</v>
      </c>
      <c r="J13" s="184">
        <f t="shared" ref="J13" si="20">G13/E13</f>
        <v>1.0247302904564315</v>
      </c>
      <c r="K13" s="210"/>
      <c r="L13" s="212"/>
      <c r="M13" s="212"/>
      <c r="N13" s="213"/>
      <c r="O13" s="214"/>
      <c r="P13" s="215"/>
      <c r="Q13" s="216"/>
      <c r="R13" s="193"/>
      <c r="S13" s="210"/>
      <c r="T13" s="210"/>
      <c r="U13" s="211"/>
      <c r="V13" s="212"/>
      <c r="W13" s="217"/>
      <c r="X13" s="212"/>
      <c r="Y13" s="217"/>
      <c r="Z13" s="212"/>
      <c r="AA13" s="213"/>
      <c r="AB13" s="218"/>
    </row>
    <row r="14" spans="1:28" ht="27.75" customHeight="1" outlineLevel="1" x14ac:dyDescent="0.3">
      <c r="A14" s="464"/>
      <c r="B14" s="524"/>
      <c r="C14" s="155" t="s">
        <v>61</v>
      </c>
      <c r="D14" s="141"/>
      <c r="E14" s="152"/>
      <c r="F14" s="142"/>
      <c r="G14" s="152"/>
      <c r="H14" s="142"/>
      <c r="I14" s="153"/>
      <c r="J14" s="164"/>
      <c r="K14" s="219"/>
      <c r="L14" s="221">
        <f>SUM(L10:L12)</f>
        <v>15.549959999999999</v>
      </c>
      <c r="M14" s="221">
        <f t="shared" ref="M14:P14" si="21">SUM(M10:M12)</f>
        <v>16.851059999999997</v>
      </c>
      <c r="N14" s="222">
        <f t="shared" si="21"/>
        <v>202.21271999999999</v>
      </c>
      <c r="O14" s="223">
        <f t="shared" si="21"/>
        <v>1.3010999999999999</v>
      </c>
      <c r="P14" s="224" t="e">
        <f t="shared" si="21"/>
        <v>#REF!</v>
      </c>
      <c r="Q14" s="225">
        <f t="shared" ref="Q14:Q22" si="22">M14/L14</f>
        <v>1.083672240957533</v>
      </c>
      <c r="R14" s="193"/>
      <c r="S14" s="219"/>
      <c r="T14" s="219"/>
      <c r="U14" s="220"/>
      <c r="V14" s="221">
        <f>SUM(V10:V12)</f>
        <v>12.393759999999999</v>
      </c>
      <c r="W14" s="221">
        <f t="shared" ref="W14:Z14" si="23">SUM(W10:W12)</f>
        <v>148.72511999999998</v>
      </c>
      <c r="X14" s="221">
        <f t="shared" si="23"/>
        <v>16.851059999999997</v>
      </c>
      <c r="Y14" s="221">
        <f t="shared" si="23"/>
        <v>202.21271999999999</v>
      </c>
      <c r="Z14" s="221">
        <f t="shared" si="23"/>
        <v>4.4573</v>
      </c>
      <c r="AA14" s="224">
        <f t="shared" ref="AA14" si="24">SUM(AA10:AA12)</f>
        <v>53.4876</v>
      </c>
      <c r="AB14" s="225">
        <f t="shared" si="2"/>
        <v>1.3596406578794489</v>
      </c>
    </row>
    <row r="15" spans="1:28" ht="27.75" customHeight="1" thickBot="1" x14ac:dyDescent="0.35">
      <c r="A15" s="465"/>
      <c r="B15" s="515" t="s">
        <v>62</v>
      </c>
      <c r="C15" s="516"/>
      <c r="D15" s="517"/>
      <c r="E15" s="157"/>
      <c r="F15" s="158"/>
      <c r="G15" s="159"/>
      <c r="H15" s="158"/>
      <c r="I15" s="160"/>
      <c r="J15" s="165"/>
      <c r="K15" s="226"/>
      <c r="L15" s="228">
        <f>L9+L14</f>
        <v>25.58034</v>
      </c>
      <c r="M15" s="228">
        <f t="shared" ref="M15:P15" si="25">M9+M14</f>
        <v>28.932079999999999</v>
      </c>
      <c r="N15" s="229">
        <f t="shared" si="25"/>
        <v>347.18496000000005</v>
      </c>
      <c r="O15" s="186">
        <f t="shared" si="25"/>
        <v>3.3517399999999999</v>
      </c>
      <c r="P15" s="229" t="e">
        <f t="shared" si="25"/>
        <v>#REF!</v>
      </c>
      <c r="Q15" s="230">
        <f t="shared" si="22"/>
        <v>1.1310279691356722</v>
      </c>
      <c r="R15" s="193"/>
      <c r="S15" s="226"/>
      <c r="T15" s="226"/>
      <c r="U15" s="227"/>
      <c r="V15" s="228">
        <f>V9+V14</f>
        <v>19.20214</v>
      </c>
      <c r="W15" s="228">
        <f t="shared" ref="W15:Z15" si="26">W9+W14</f>
        <v>230.42567999999997</v>
      </c>
      <c r="X15" s="228">
        <f t="shared" si="26"/>
        <v>28.932079999999999</v>
      </c>
      <c r="Y15" s="228">
        <f t="shared" si="26"/>
        <v>347.18496000000005</v>
      </c>
      <c r="Z15" s="186">
        <f t="shared" si="26"/>
        <v>9.7299399999999991</v>
      </c>
      <c r="AA15" s="229">
        <f t="shared" ref="AA15" si="27">AA9+AA14</f>
        <v>116.75928</v>
      </c>
      <c r="AB15" s="230">
        <f t="shared" si="2"/>
        <v>1.5067112311440287</v>
      </c>
    </row>
    <row r="16" spans="1:28" ht="27.75" customHeight="1" outlineLevel="1" x14ac:dyDescent="0.3">
      <c r="A16" s="463" t="s">
        <v>12</v>
      </c>
      <c r="B16" s="518" t="s">
        <v>6</v>
      </c>
      <c r="C16" s="132" t="s">
        <v>30</v>
      </c>
      <c r="D16" s="133" t="s">
        <v>7</v>
      </c>
      <c r="E16" s="134">
        <v>3.2275</v>
      </c>
      <c r="F16" s="135">
        <f>ROUND((E16*1.095),4)</f>
        <v>3.5341</v>
      </c>
      <c r="G16" s="136">
        <v>1.7602</v>
      </c>
      <c r="H16" s="135">
        <f>ROUND((G16*1.095),4)</f>
        <v>1.9274</v>
      </c>
      <c r="I16" s="137">
        <f t="shared" si="4"/>
        <v>-1.6067</v>
      </c>
      <c r="J16" s="138">
        <f t="shared" si="5"/>
        <v>0.54537567776917117</v>
      </c>
      <c r="K16" s="231">
        <v>1</v>
      </c>
      <c r="L16" s="233">
        <f>K16*F16</f>
        <v>3.5341</v>
      </c>
      <c r="M16" s="233">
        <f>K16*H16</f>
        <v>1.9274</v>
      </c>
      <c r="N16" s="234">
        <f t="shared" si="6"/>
        <v>23.128799999999998</v>
      </c>
      <c r="O16" s="233">
        <f>M16-L16</f>
        <v>-1.6067</v>
      </c>
      <c r="P16" s="234" t="e">
        <f>N16-#REF!</f>
        <v>#REF!</v>
      </c>
      <c r="Q16" s="235">
        <f t="shared" si="22"/>
        <v>0.54537223055374773</v>
      </c>
      <c r="R16" s="193"/>
      <c r="S16" s="236" t="s">
        <v>73</v>
      </c>
      <c r="T16" s="231">
        <v>1</v>
      </c>
      <c r="U16" s="232">
        <f t="shared" ref="U16:U18" si="28">T16*12</f>
        <v>12</v>
      </c>
      <c r="V16" s="233">
        <v>1.0134000000000001</v>
      </c>
      <c r="W16" s="234">
        <f>V16*12</f>
        <v>12.160800000000002</v>
      </c>
      <c r="X16" s="233">
        <f>T16*H16</f>
        <v>1.9274</v>
      </c>
      <c r="Y16" s="234">
        <f t="shared" ref="Y16:Y18" si="29">X16*12</f>
        <v>23.128799999999998</v>
      </c>
      <c r="Z16" s="233">
        <f t="shared" ref="Z16:AA18" si="30">X16-V16</f>
        <v>0.91399999999999992</v>
      </c>
      <c r="AA16" s="234">
        <f t="shared" si="30"/>
        <v>10.967999999999996</v>
      </c>
      <c r="AB16" s="235">
        <f t="shared" si="2"/>
        <v>1.90191434774028</v>
      </c>
    </row>
    <row r="17" spans="1:28" ht="27.75" customHeight="1" outlineLevel="1" x14ac:dyDescent="0.3">
      <c r="A17" s="464"/>
      <c r="B17" s="519"/>
      <c r="C17" s="3" t="s">
        <v>8</v>
      </c>
      <c r="D17" s="76" t="s">
        <v>9</v>
      </c>
      <c r="E17" s="12">
        <v>0.26219999999999999</v>
      </c>
      <c r="F17" s="69">
        <f t="shared" ref="F17:H18" si="31">ROUND((E17*1.095),4)</f>
        <v>0.28710000000000002</v>
      </c>
      <c r="G17" s="59">
        <v>0.52990000000000004</v>
      </c>
      <c r="H17" s="69">
        <f t="shared" si="31"/>
        <v>0.58020000000000005</v>
      </c>
      <c r="I17" s="64">
        <f t="shared" si="4"/>
        <v>0.29310000000000003</v>
      </c>
      <c r="J17" s="113">
        <f t="shared" si="5"/>
        <v>2.0209763539282992</v>
      </c>
      <c r="K17" s="195">
        <f>4*$L$2</f>
        <v>15.2</v>
      </c>
      <c r="L17" s="197">
        <f>K17*F17</f>
        <v>4.3639200000000002</v>
      </c>
      <c r="M17" s="197">
        <f>K17*H17</f>
        <v>8.8190400000000011</v>
      </c>
      <c r="N17" s="198">
        <f t="shared" si="6"/>
        <v>105.82848000000001</v>
      </c>
      <c r="O17" s="197">
        <f>M17-L17</f>
        <v>4.4551200000000009</v>
      </c>
      <c r="P17" s="198" t="e">
        <f>N17-#REF!</f>
        <v>#REF!</v>
      </c>
      <c r="Q17" s="199">
        <f t="shared" si="22"/>
        <v>2.020898641588297</v>
      </c>
      <c r="R17" s="193"/>
      <c r="S17" s="195">
        <f t="shared" ref="S17:T18" si="32">4*$L$2</f>
        <v>15.2</v>
      </c>
      <c r="T17" s="195">
        <f t="shared" si="32"/>
        <v>15.2</v>
      </c>
      <c r="U17" s="196">
        <f t="shared" si="28"/>
        <v>182.39999999999998</v>
      </c>
      <c r="V17" s="197">
        <f>S17*F17</f>
        <v>4.3639200000000002</v>
      </c>
      <c r="W17" s="198">
        <f>V17*12</f>
        <v>52.367040000000003</v>
      </c>
      <c r="X17" s="197">
        <f>T17*H17</f>
        <v>8.8190400000000011</v>
      </c>
      <c r="Y17" s="198">
        <f t="shared" si="29"/>
        <v>105.82848000000001</v>
      </c>
      <c r="Z17" s="197">
        <f t="shared" si="30"/>
        <v>4.4551200000000009</v>
      </c>
      <c r="AA17" s="198">
        <f t="shared" si="30"/>
        <v>53.46144000000001</v>
      </c>
      <c r="AB17" s="199">
        <f t="shared" si="2"/>
        <v>2.020898641588297</v>
      </c>
    </row>
    <row r="18" spans="1:28" ht="27.75" customHeight="1" outlineLevel="1" x14ac:dyDescent="0.3">
      <c r="A18" s="464"/>
      <c r="B18" s="519"/>
      <c r="C18" s="4" t="s">
        <v>10</v>
      </c>
      <c r="D18" s="77" t="s">
        <v>9</v>
      </c>
      <c r="E18" s="9">
        <v>6.3799999999999996E-2</v>
      </c>
      <c r="F18" s="70">
        <f t="shared" si="31"/>
        <v>6.9900000000000004E-2</v>
      </c>
      <c r="G18" s="60">
        <v>6.3799999999999996E-2</v>
      </c>
      <c r="H18" s="70">
        <f t="shared" si="31"/>
        <v>6.9900000000000004E-2</v>
      </c>
      <c r="I18" s="65">
        <f t="shared" si="4"/>
        <v>0</v>
      </c>
      <c r="J18" s="114">
        <f t="shared" si="5"/>
        <v>1</v>
      </c>
      <c r="K18" s="200">
        <f>4*$L$2</f>
        <v>15.2</v>
      </c>
      <c r="L18" s="202">
        <f>K18*F18</f>
        <v>1.0624800000000001</v>
      </c>
      <c r="M18" s="202">
        <f>K18*H18</f>
        <v>1.0624800000000001</v>
      </c>
      <c r="N18" s="203">
        <f t="shared" si="6"/>
        <v>12.749760000000002</v>
      </c>
      <c r="O18" s="202">
        <f>M18-L18</f>
        <v>0</v>
      </c>
      <c r="P18" s="203" t="e">
        <f>N18-#REF!</f>
        <v>#REF!</v>
      </c>
      <c r="Q18" s="204">
        <f t="shared" si="22"/>
        <v>1</v>
      </c>
      <c r="R18" s="193"/>
      <c r="S18" s="200">
        <f t="shared" si="32"/>
        <v>15.2</v>
      </c>
      <c r="T18" s="200">
        <f t="shared" si="32"/>
        <v>15.2</v>
      </c>
      <c r="U18" s="201">
        <f t="shared" si="28"/>
        <v>182.39999999999998</v>
      </c>
      <c r="V18" s="202">
        <f>S18*F18</f>
        <v>1.0624800000000001</v>
      </c>
      <c r="W18" s="203">
        <f>V18*12</f>
        <v>12.749760000000002</v>
      </c>
      <c r="X18" s="202">
        <f>T18*H18</f>
        <v>1.0624800000000001</v>
      </c>
      <c r="Y18" s="203">
        <f t="shared" si="29"/>
        <v>12.749760000000002</v>
      </c>
      <c r="Z18" s="202">
        <f t="shared" si="30"/>
        <v>0</v>
      </c>
      <c r="AA18" s="203">
        <f t="shared" si="30"/>
        <v>0</v>
      </c>
      <c r="AB18" s="204">
        <f t="shared" si="2"/>
        <v>1</v>
      </c>
    </row>
    <row r="19" spans="1:28" ht="27.75" customHeight="1" outlineLevel="1" thickBot="1" x14ac:dyDescent="0.35">
      <c r="A19" s="464"/>
      <c r="B19" s="520"/>
      <c r="C19" s="154" t="s">
        <v>60</v>
      </c>
      <c r="D19" s="139"/>
      <c r="E19" s="150"/>
      <c r="F19" s="140"/>
      <c r="G19" s="150"/>
      <c r="H19" s="140"/>
      <c r="I19" s="151"/>
      <c r="J19" s="163"/>
      <c r="K19" s="205"/>
      <c r="L19" s="207">
        <f>SUM(L16:L18)</f>
        <v>8.9605000000000015</v>
      </c>
      <c r="M19" s="207">
        <f t="shared" ref="M19" si="33">SUM(M16:M18)</f>
        <v>11.808920000000002</v>
      </c>
      <c r="N19" s="208">
        <f t="shared" ref="N19" si="34">SUM(N16:N18)</f>
        <v>141.70704000000003</v>
      </c>
      <c r="O19" s="207">
        <f t="shared" ref="O19" si="35">SUM(O16:O18)</f>
        <v>2.8484200000000008</v>
      </c>
      <c r="P19" s="208" t="e">
        <f t="shared" ref="P19" si="36">SUM(P16:P18)</f>
        <v>#REF!</v>
      </c>
      <c r="Q19" s="209">
        <f t="shared" si="22"/>
        <v>1.3178862786674852</v>
      </c>
      <c r="R19" s="193"/>
      <c r="S19" s="205"/>
      <c r="T19" s="205"/>
      <c r="U19" s="206"/>
      <c r="V19" s="207">
        <f>SUM(V16:V18)</f>
        <v>6.4398</v>
      </c>
      <c r="W19" s="207">
        <f t="shared" ref="W19:Z19" si="37">SUM(W16:W18)</f>
        <v>77.277600000000007</v>
      </c>
      <c r="X19" s="207">
        <f t="shared" si="37"/>
        <v>11.808920000000002</v>
      </c>
      <c r="Y19" s="207">
        <f t="shared" si="37"/>
        <v>141.70704000000003</v>
      </c>
      <c r="Z19" s="207">
        <f t="shared" si="37"/>
        <v>5.3691200000000006</v>
      </c>
      <c r="AA19" s="208">
        <f t="shared" ref="AA19" si="38">SUM(AA16:AA18)</f>
        <v>64.42944</v>
      </c>
      <c r="AB19" s="209">
        <f t="shared" si="2"/>
        <v>1.8337401782664062</v>
      </c>
    </row>
    <row r="20" spans="1:28" ht="27.75" customHeight="1" outlineLevel="1" x14ac:dyDescent="0.3">
      <c r="A20" s="464"/>
      <c r="B20" s="521" t="s">
        <v>11</v>
      </c>
      <c r="C20" s="143" t="s">
        <v>30</v>
      </c>
      <c r="D20" s="144" t="s">
        <v>7</v>
      </c>
      <c r="E20" s="145">
        <v>2.9375</v>
      </c>
      <c r="F20" s="146">
        <f>ROUND((E20*1.095),4)</f>
        <v>3.2166000000000001</v>
      </c>
      <c r="G20" s="147">
        <v>2.5634999999999999</v>
      </c>
      <c r="H20" s="146">
        <f>ROUND((G20*1.095),4)</f>
        <v>2.8069999999999999</v>
      </c>
      <c r="I20" s="148">
        <f t="shared" si="4"/>
        <v>-0.40960000000000019</v>
      </c>
      <c r="J20" s="149">
        <f t="shared" si="5"/>
        <v>0.87268085106382975</v>
      </c>
      <c r="K20" s="188">
        <v>1</v>
      </c>
      <c r="L20" s="190">
        <f>K20*F20</f>
        <v>3.2166000000000001</v>
      </c>
      <c r="M20" s="190">
        <f>K20*H20</f>
        <v>2.8069999999999999</v>
      </c>
      <c r="N20" s="191">
        <f t="shared" si="6"/>
        <v>33.683999999999997</v>
      </c>
      <c r="O20" s="190">
        <f>M20-L20</f>
        <v>-0.40960000000000019</v>
      </c>
      <c r="P20" s="191" t="e">
        <f>N20-#REF!</f>
        <v>#REF!</v>
      </c>
      <c r="Q20" s="192">
        <f t="shared" si="22"/>
        <v>0.87266057327613</v>
      </c>
      <c r="R20" s="193"/>
      <c r="S20" s="236" t="s">
        <v>73</v>
      </c>
      <c r="T20" s="188">
        <v>1</v>
      </c>
      <c r="U20" s="189">
        <f t="shared" ref="U20:U22" si="39">T20*12</f>
        <v>12</v>
      </c>
      <c r="V20" s="190">
        <v>0.92320000000000002</v>
      </c>
      <c r="W20" s="191">
        <f>V20*12</f>
        <v>11.0784</v>
      </c>
      <c r="X20" s="190">
        <f>T20*H20</f>
        <v>2.8069999999999999</v>
      </c>
      <c r="Y20" s="191">
        <f t="shared" ref="Y20:Y22" si="40">X20*12</f>
        <v>33.683999999999997</v>
      </c>
      <c r="Z20" s="190">
        <f t="shared" ref="Z20:AA22" si="41">X20-V20</f>
        <v>1.8837999999999999</v>
      </c>
      <c r="AA20" s="191">
        <f t="shared" si="41"/>
        <v>22.605599999999995</v>
      </c>
      <c r="AB20" s="192">
        <f t="shared" si="2"/>
        <v>3.0405112651646444</v>
      </c>
    </row>
    <row r="21" spans="1:28" ht="27.75" customHeight="1" outlineLevel="1" x14ac:dyDescent="0.3">
      <c r="A21" s="464"/>
      <c r="B21" s="522"/>
      <c r="C21" s="3" t="s">
        <v>8</v>
      </c>
      <c r="D21" s="76" t="s">
        <v>9</v>
      </c>
      <c r="E21" s="12">
        <v>0.21460000000000001</v>
      </c>
      <c r="F21" s="69">
        <f t="shared" ref="F21:H21" si="42">ROUND((E21*1.095),4)</f>
        <v>0.23499999999999999</v>
      </c>
      <c r="G21" s="59">
        <v>0.29260000000000003</v>
      </c>
      <c r="H21" s="69">
        <f t="shared" si="42"/>
        <v>0.32040000000000002</v>
      </c>
      <c r="I21" s="64">
        <f t="shared" si="4"/>
        <v>8.5400000000000031E-2</v>
      </c>
      <c r="J21" s="113">
        <f t="shared" si="5"/>
        <v>1.3634669151910532</v>
      </c>
      <c r="K21" s="195">
        <f>4*$L$2</f>
        <v>15.2</v>
      </c>
      <c r="L21" s="197">
        <f>K21*F21</f>
        <v>3.5719999999999996</v>
      </c>
      <c r="M21" s="197">
        <f>K21*H21</f>
        <v>4.8700799999999997</v>
      </c>
      <c r="N21" s="198">
        <f t="shared" si="6"/>
        <v>58.440959999999997</v>
      </c>
      <c r="O21" s="197">
        <f>M21-L21</f>
        <v>1.2980800000000001</v>
      </c>
      <c r="P21" s="198" t="e">
        <f>N21-#REF!</f>
        <v>#REF!</v>
      </c>
      <c r="Q21" s="199">
        <f t="shared" si="22"/>
        <v>1.363404255319149</v>
      </c>
      <c r="R21" s="193"/>
      <c r="S21" s="195">
        <f t="shared" ref="S21:T22" si="43">4*$L$2</f>
        <v>15.2</v>
      </c>
      <c r="T21" s="195">
        <f t="shared" si="43"/>
        <v>15.2</v>
      </c>
      <c r="U21" s="196">
        <f t="shared" si="39"/>
        <v>182.39999999999998</v>
      </c>
      <c r="V21" s="197">
        <f>S21*F21</f>
        <v>3.5719999999999996</v>
      </c>
      <c r="W21" s="198">
        <f>V21*12</f>
        <v>42.863999999999997</v>
      </c>
      <c r="X21" s="197">
        <f>T21*H21</f>
        <v>4.8700799999999997</v>
      </c>
      <c r="Y21" s="198">
        <f t="shared" si="40"/>
        <v>58.440959999999997</v>
      </c>
      <c r="Z21" s="197">
        <f t="shared" si="41"/>
        <v>1.2980800000000001</v>
      </c>
      <c r="AA21" s="198">
        <f t="shared" si="41"/>
        <v>15.57696</v>
      </c>
      <c r="AB21" s="199">
        <f t="shared" si="2"/>
        <v>1.363404255319149</v>
      </c>
    </row>
    <row r="22" spans="1:28" ht="27.75" customHeight="1" outlineLevel="1" x14ac:dyDescent="0.3">
      <c r="A22" s="464"/>
      <c r="B22" s="522"/>
      <c r="C22" s="3" t="s">
        <v>42</v>
      </c>
      <c r="D22" s="76" t="s">
        <v>9</v>
      </c>
      <c r="E22" s="12">
        <v>0.52829999999999999</v>
      </c>
      <c r="F22" s="69">
        <f>E22</f>
        <v>0.52829999999999999</v>
      </c>
      <c r="G22" s="59">
        <v>0.52829999999999999</v>
      </c>
      <c r="H22" s="69">
        <f>G22</f>
        <v>0.52829999999999999</v>
      </c>
      <c r="I22" s="64">
        <f t="shared" si="4"/>
        <v>0</v>
      </c>
      <c r="J22" s="113">
        <f t="shared" si="5"/>
        <v>1</v>
      </c>
      <c r="K22" s="195">
        <f>4*$L$2</f>
        <v>15.2</v>
      </c>
      <c r="L22" s="197">
        <f>K22*F22</f>
        <v>8.0301599999999986</v>
      </c>
      <c r="M22" s="197">
        <f>K22*H22</f>
        <v>8.0301599999999986</v>
      </c>
      <c r="N22" s="198">
        <f t="shared" si="6"/>
        <v>96.361919999999984</v>
      </c>
      <c r="O22" s="197">
        <f>M22-L22</f>
        <v>0</v>
      </c>
      <c r="P22" s="198" t="e">
        <f>N22-#REF!</f>
        <v>#REF!</v>
      </c>
      <c r="Q22" s="199">
        <f t="shared" si="22"/>
        <v>1</v>
      </c>
      <c r="R22" s="193"/>
      <c r="S22" s="195">
        <f t="shared" si="43"/>
        <v>15.2</v>
      </c>
      <c r="T22" s="195">
        <f t="shared" si="43"/>
        <v>15.2</v>
      </c>
      <c r="U22" s="196">
        <f t="shared" si="39"/>
        <v>182.39999999999998</v>
      </c>
      <c r="V22" s="197">
        <f>S22*F22</f>
        <v>8.0301599999999986</v>
      </c>
      <c r="W22" s="198">
        <f>V22*12</f>
        <v>96.361919999999984</v>
      </c>
      <c r="X22" s="197">
        <f>T22*H22</f>
        <v>8.0301599999999986</v>
      </c>
      <c r="Y22" s="198">
        <f t="shared" si="40"/>
        <v>96.361919999999984</v>
      </c>
      <c r="Z22" s="197">
        <f t="shared" si="41"/>
        <v>0</v>
      </c>
      <c r="AA22" s="198">
        <f t="shared" si="41"/>
        <v>0</v>
      </c>
      <c r="AB22" s="199">
        <f t="shared" si="2"/>
        <v>1</v>
      </c>
    </row>
    <row r="23" spans="1:28" ht="27.75" customHeight="1" outlineLevel="1" x14ac:dyDescent="0.3">
      <c r="A23" s="464"/>
      <c r="B23" s="523"/>
      <c r="C23" s="180" t="s">
        <v>75</v>
      </c>
      <c r="D23" s="76" t="s">
        <v>9</v>
      </c>
      <c r="E23" s="181">
        <v>48.2</v>
      </c>
      <c r="F23" s="185">
        <v>52.78</v>
      </c>
      <c r="G23" s="182">
        <v>49.392000000000003</v>
      </c>
      <c r="H23" s="185">
        <f>ROUND((G23*1.095),4)</f>
        <v>54.084200000000003</v>
      </c>
      <c r="I23" s="183">
        <f t="shared" si="4"/>
        <v>1.3042000000000016</v>
      </c>
      <c r="J23" s="184">
        <f t="shared" si="5"/>
        <v>1.0247302904564315</v>
      </c>
      <c r="K23" s="210"/>
      <c r="L23" s="212"/>
      <c r="M23" s="212"/>
      <c r="N23" s="213"/>
      <c r="O23" s="214"/>
      <c r="P23" s="215"/>
      <c r="Q23" s="216"/>
      <c r="R23" s="193"/>
      <c r="S23" s="210"/>
      <c r="T23" s="210"/>
      <c r="U23" s="211"/>
      <c r="V23" s="212"/>
      <c r="W23" s="217"/>
      <c r="X23" s="212"/>
      <c r="Y23" s="217"/>
      <c r="Z23" s="212"/>
      <c r="AA23" s="213"/>
      <c r="AB23" s="218"/>
    </row>
    <row r="24" spans="1:28" ht="27.75" customHeight="1" outlineLevel="1" x14ac:dyDescent="0.3">
      <c r="A24" s="464"/>
      <c r="B24" s="524"/>
      <c r="C24" s="155" t="s">
        <v>61</v>
      </c>
      <c r="D24" s="141"/>
      <c r="E24" s="152"/>
      <c r="F24" s="142"/>
      <c r="G24" s="152"/>
      <c r="H24" s="142"/>
      <c r="I24" s="153"/>
      <c r="J24" s="164"/>
      <c r="K24" s="219"/>
      <c r="L24" s="221">
        <f>SUM(L20:L22)</f>
        <v>14.818759999999997</v>
      </c>
      <c r="M24" s="221">
        <f t="shared" ref="M24" si="44">SUM(M20:M22)</f>
        <v>15.707239999999999</v>
      </c>
      <c r="N24" s="222">
        <f t="shared" ref="N24" si="45">SUM(N20:N22)</f>
        <v>188.48687999999999</v>
      </c>
      <c r="O24" s="223">
        <f t="shared" ref="O24" si="46">SUM(O20:O22)</f>
        <v>0.88847999999999994</v>
      </c>
      <c r="P24" s="224" t="e">
        <f t="shared" ref="P24" si="47">SUM(P20:P22)</f>
        <v>#REF!</v>
      </c>
      <c r="Q24" s="225">
        <f t="shared" ref="Q24:Q30" si="48">M24/L24</f>
        <v>1.059956433601732</v>
      </c>
      <c r="R24" s="193"/>
      <c r="S24" s="219"/>
      <c r="T24" s="219"/>
      <c r="U24" s="220"/>
      <c r="V24" s="221">
        <f>SUM(V20:V22)</f>
        <v>12.525359999999999</v>
      </c>
      <c r="W24" s="221">
        <f t="shared" ref="W24:Z24" si="49">SUM(W20:W22)</f>
        <v>150.30431999999999</v>
      </c>
      <c r="X24" s="221">
        <f t="shared" si="49"/>
        <v>15.707239999999999</v>
      </c>
      <c r="Y24" s="221">
        <f t="shared" si="49"/>
        <v>188.48687999999999</v>
      </c>
      <c r="Z24" s="221">
        <f t="shared" si="49"/>
        <v>3.18188</v>
      </c>
      <c r="AA24" s="224">
        <f t="shared" ref="AA24" si="50">SUM(AA20:AA22)</f>
        <v>38.182559999999995</v>
      </c>
      <c r="AB24" s="225">
        <f t="shared" si="2"/>
        <v>1.2540350137640754</v>
      </c>
    </row>
    <row r="25" spans="1:28" ht="27.75" customHeight="1" thickBot="1" x14ac:dyDescent="0.35">
      <c r="A25" s="465"/>
      <c r="B25" s="515" t="s">
        <v>62</v>
      </c>
      <c r="C25" s="516"/>
      <c r="D25" s="517"/>
      <c r="E25" s="157"/>
      <c r="F25" s="158"/>
      <c r="G25" s="159"/>
      <c r="H25" s="158"/>
      <c r="I25" s="160"/>
      <c r="J25" s="165"/>
      <c r="K25" s="226"/>
      <c r="L25" s="228">
        <f>L19+L24</f>
        <v>23.779260000000001</v>
      </c>
      <c r="M25" s="228">
        <f t="shared" ref="M25" si="51">M19+M24</f>
        <v>27.516159999999999</v>
      </c>
      <c r="N25" s="229">
        <f t="shared" ref="N25" si="52">N19+N24</f>
        <v>330.19392000000005</v>
      </c>
      <c r="O25" s="186">
        <f t="shared" ref="O25" si="53">O19+O24</f>
        <v>3.7369000000000008</v>
      </c>
      <c r="P25" s="229" t="e">
        <f t="shared" ref="P25" si="54">P19+P24</f>
        <v>#REF!</v>
      </c>
      <c r="Q25" s="230">
        <f t="shared" si="48"/>
        <v>1.1571495496495685</v>
      </c>
      <c r="R25" s="193"/>
      <c r="S25" s="226"/>
      <c r="T25" s="226"/>
      <c r="U25" s="227"/>
      <c r="V25" s="228">
        <f>V19+V24</f>
        <v>18.965159999999997</v>
      </c>
      <c r="W25" s="228">
        <f t="shared" ref="W25:Z25" si="55">W19+W24</f>
        <v>227.58192</v>
      </c>
      <c r="X25" s="228">
        <f t="shared" si="55"/>
        <v>27.516159999999999</v>
      </c>
      <c r="Y25" s="228">
        <f t="shared" si="55"/>
        <v>330.19392000000005</v>
      </c>
      <c r="Z25" s="186">
        <f t="shared" si="55"/>
        <v>8.5510000000000002</v>
      </c>
      <c r="AA25" s="229">
        <f t="shared" ref="AA25" si="56">AA19+AA24</f>
        <v>102.61199999999999</v>
      </c>
      <c r="AB25" s="230">
        <f t="shared" si="2"/>
        <v>1.4508794020192819</v>
      </c>
    </row>
    <row r="26" spans="1:28" ht="27.75" customHeight="1" outlineLevel="1" x14ac:dyDescent="0.3">
      <c r="A26" s="459" t="s">
        <v>13</v>
      </c>
      <c r="B26" s="518" t="s">
        <v>6</v>
      </c>
      <c r="C26" s="132" t="s">
        <v>30</v>
      </c>
      <c r="D26" s="133" t="s">
        <v>7</v>
      </c>
      <c r="E26" s="134">
        <v>1.792</v>
      </c>
      <c r="F26" s="135">
        <f>ROUND((E26*1.095),4)</f>
        <v>1.9621999999999999</v>
      </c>
      <c r="G26" s="136">
        <v>1.0337000000000001</v>
      </c>
      <c r="H26" s="135">
        <f>ROUND((G26*1.095),4)</f>
        <v>1.1318999999999999</v>
      </c>
      <c r="I26" s="137">
        <f t="shared" si="4"/>
        <v>-0.83030000000000004</v>
      </c>
      <c r="J26" s="138">
        <f t="shared" si="5"/>
        <v>0.57684151785714288</v>
      </c>
      <c r="K26" s="231">
        <v>1</v>
      </c>
      <c r="L26" s="233">
        <f>K26*F26</f>
        <v>1.9621999999999999</v>
      </c>
      <c r="M26" s="233">
        <f>K26*H26</f>
        <v>1.1318999999999999</v>
      </c>
      <c r="N26" s="234">
        <f t="shared" si="6"/>
        <v>13.582799999999999</v>
      </c>
      <c r="O26" s="233">
        <f>M26-L26</f>
        <v>-0.83030000000000004</v>
      </c>
      <c r="P26" s="234" t="e">
        <f>N26-#REF!</f>
        <v>#REF!</v>
      </c>
      <c r="Q26" s="235">
        <f t="shared" si="48"/>
        <v>0.57685251248598512</v>
      </c>
      <c r="R26" s="193"/>
      <c r="S26" s="236" t="s">
        <v>73</v>
      </c>
      <c r="T26" s="231">
        <v>1</v>
      </c>
      <c r="U26" s="232">
        <f>T26*12</f>
        <v>12</v>
      </c>
      <c r="V26" s="233">
        <v>0.72589999999999999</v>
      </c>
      <c r="W26" s="234">
        <f>V26*12</f>
        <v>8.710799999999999</v>
      </c>
      <c r="X26" s="233">
        <f>T26*H26</f>
        <v>1.1318999999999999</v>
      </c>
      <c r="Y26" s="234">
        <f t="shared" ref="Y26:Y28" si="57">X26*12</f>
        <v>13.582799999999999</v>
      </c>
      <c r="Z26" s="233">
        <f t="shared" ref="Z26:AA28" si="58">X26-V26</f>
        <v>0.40599999999999992</v>
      </c>
      <c r="AA26" s="234">
        <f t="shared" si="58"/>
        <v>4.8719999999999999</v>
      </c>
      <c r="AB26" s="235">
        <f t="shared" si="2"/>
        <v>1.5593056894889101</v>
      </c>
    </row>
    <row r="27" spans="1:28" ht="27.75" customHeight="1" outlineLevel="1" x14ac:dyDescent="0.3">
      <c r="A27" s="460"/>
      <c r="B27" s="519"/>
      <c r="C27" s="3" t="s">
        <v>8</v>
      </c>
      <c r="D27" s="76" t="s">
        <v>9</v>
      </c>
      <c r="E27" s="12">
        <v>0.27300000000000002</v>
      </c>
      <c r="F27" s="69">
        <f t="shared" ref="F27:H28" si="59">ROUND((E27*1.095),4)</f>
        <v>0.2989</v>
      </c>
      <c r="G27" s="59">
        <v>0.51239999999999997</v>
      </c>
      <c r="H27" s="69">
        <f t="shared" si="59"/>
        <v>0.56110000000000004</v>
      </c>
      <c r="I27" s="64">
        <f t="shared" si="4"/>
        <v>0.26220000000000004</v>
      </c>
      <c r="J27" s="113">
        <f t="shared" si="5"/>
        <v>1.8769230769230767</v>
      </c>
      <c r="K27" s="195">
        <f>4*$L$2</f>
        <v>15.2</v>
      </c>
      <c r="L27" s="197">
        <f>K27*F27</f>
        <v>4.5432800000000002</v>
      </c>
      <c r="M27" s="197">
        <f>K27*H27</f>
        <v>8.5287199999999999</v>
      </c>
      <c r="N27" s="198">
        <f t="shared" si="6"/>
        <v>102.34464</v>
      </c>
      <c r="O27" s="197">
        <f>M27-L27</f>
        <v>3.9854399999999996</v>
      </c>
      <c r="P27" s="198" t="e">
        <f>N27-#REF!</f>
        <v>#REF!</v>
      </c>
      <c r="Q27" s="199">
        <f t="shared" si="48"/>
        <v>1.8772164603546335</v>
      </c>
      <c r="R27" s="193"/>
      <c r="S27" s="195">
        <f t="shared" ref="S27:T28" si="60">4*$L$2</f>
        <v>15.2</v>
      </c>
      <c r="T27" s="195">
        <f t="shared" si="60"/>
        <v>15.2</v>
      </c>
      <c r="U27" s="196">
        <f t="shared" ref="U27:U28" si="61">T27*12</f>
        <v>182.39999999999998</v>
      </c>
      <c r="V27" s="197">
        <f>S27*F27</f>
        <v>4.5432800000000002</v>
      </c>
      <c r="W27" s="198">
        <f>V27*12</f>
        <v>54.519360000000006</v>
      </c>
      <c r="X27" s="197">
        <f>T27*H27</f>
        <v>8.5287199999999999</v>
      </c>
      <c r="Y27" s="198">
        <f t="shared" si="57"/>
        <v>102.34464</v>
      </c>
      <c r="Z27" s="197">
        <f t="shared" si="58"/>
        <v>3.9854399999999996</v>
      </c>
      <c r="AA27" s="198">
        <f t="shared" si="58"/>
        <v>47.825279999999992</v>
      </c>
      <c r="AB27" s="199">
        <f t="shared" si="2"/>
        <v>1.8772164603546335</v>
      </c>
    </row>
    <row r="28" spans="1:28" ht="27.75" customHeight="1" outlineLevel="1" x14ac:dyDescent="0.3">
      <c r="A28" s="460"/>
      <c r="B28" s="519"/>
      <c r="C28" s="4" t="s">
        <v>10</v>
      </c>
      <c r="D28" s="77" t="s">
        <v>9</v>
      </c>
      <c r="E28" s="9">
        <v>6.3799999999999996E-2</v>
      </c>
      <c r="F28" s="70">
        <f t="shared" si="59"/>
        <v>6.9900000000000004E-2</v>
      </c>
      <c r="G28" s="60">
        <v>6.3799999999999996E-2</v>
      </c>
      <c r="H28" s="70">
        <f t="shared" si="59"/>
        <v>6.9900000000000004E-2</v>
      </c>
      <c r="I28" s="65">
        <f t="shared" si="4"/>
        <v>0</v>
      </c>
      <c r="J28" s="114">
        <f t="shared" si="5"/>
        <v>1</v>
      </c>
      <c r="K28" s="200">
        <f>4*$L$2</f>
        <v>15.2</v>
      </c>
      <c r="L28" s="202">
        <f>K28*F28</f>
        <v>1.0624800000000001</v>
      </c>
      <c r="M28" s="202">
        <f>K28*H28</f>
        <v>1.0624800000000001</v>
      </c>
      <c r="N28" s="203">
        <f t="shared" si="6"/>
        <v>12.749760000000002</v>
      </c>
      <c r="O28" s="202">
        <f>M28-L28</f>
        <v>0</v>
      </c>
      <c r="P28" s="203" t="e">
        <f>N28-#REF!</f>
        <v>#REF!</v>
      </c>
      <c r="Q28" s="204">
        <f t="shared" si="48"/>
        <v>1</v>
      </c>
      <c r="R28" s="193"/>
      <c r="S28" s="200">
        <f t="shared" si="60"/>
        <v>15.2</v>
      </c>
      <c r="T28" s="200">
        <f t="shared" si="60"/>
        <v>15.2</v>
      </c>
      <c r="U28" s="201">
        <f t="shared" si="61"/>
        <v>182.39999999999998</v>
      </c>
      <c r="V28" s="202">
        <f>S28*F28</f>
        <v>1.0624800000000001</v>
      </c>
      <c r="W28" s="203">
        <f>V28*12</f>
        <v>12.749760000000002</v>
      </c>
      <c r="X28" s="202">
        <f>T28*H28</f>
        <v>1.0624800000000001</v>
      </c>
      <c r="Y28" s="203">
        <f t="shared" si="57"/>
        <v>12.749760000000002</v>
      </c>
      <c r="Z28" s="202">
        <f t="shared" si="58"/>
        <v>0</v>
      </c>
      <c r="AA28" s="203">
        <f t="shared" si="58"/>
        <v>0</v>
      </c>
      <c r="AB28" s="204">
        <f t="shared" si="2"/>
        <v>1</v>
      </c>
    </row>
    <row r="29" spans="1:28" ht="27.75" customHeight="1" outlineLevel="1" x14ac:dyDescent="0.3">
      <c r="A29" s="460"/>
      <c r="B29" s="520"/>
      <c r="C29" s="154" t="s">
        <v>60</v>
      </c>
      <c r="D29" s="139"/>
      <c r="E29" s="152"/>
      <c r="F29" s="142"/>
      <c r="G29" s="152"/>
      <c r="H29" s="142"/>
      <c r="I29" s="153"/>
      <c r="J29" s="163"/>
      <c r="K29" s="205"/>
      <c r="L29" s="207">
        <f>SUM(L26:L28)</f>
        <v>7.5679600000000002</v>
      </c>
      <c r="M29" s="207">
        <f t="shared" ref="M29" si="62">SUM(M26:M28)</f>
        <v>10.723100000000001</v>
      </c>
      <c r="N29" s="208">
        <f t="shared" ref="N29" si="63">SUM(N26:N28)</f>
        <v>128.6772</v>
      </c>
      <c r="O29" s="207">
        <f t="shared" ref="O29" si="64">SUM(O26:O28)</f>
        <v>3.1551399999999994</v>
      </c>
      <c r="P29" s="208" t="e">
        <f t="shared" ref="P29" si="65">SUM(P26:P28)</f>
        <v>#REF!</v>
      </c>
      <c r="Q29" s="209">
        <f t="shared" si="48"/>
        <v>1.4169075946490204</v>
      </c>
      <c r="R29" s="193"/>
      <c r="S29" s="205"/>
      <c r="T29" s="205"/>
      <c r="U29" s="206"/>
      <c r="V29" s="207">
        <f>SUM(V26:V28)</f>
        <v>6.3316600000000003</v>
      </c>
      <c r="W29" s="207">
        <f t="shared" ref="W29:AA29" si="66">SUM(W26:W28)</f>
        <v>75.979920000000007</v>
      </c>
      <c r="X29" s="207">
        <f t="shared" si="66"/>
        <v>10.723100000000001</v>
      </c>
      <c r="Y29" s="207">
        <f t="shared" si="66"/>
        <v>128.6772</v>
      </c>
      <c r="Z29" s="207">
        <f t="shared" si="66"/>
        <v>4.3914399999999993</v>
      </c>
      <c r="AA29" s="207">
        <f t="shared" si="66"/>
        <v>52.697279999999992</v>
      </c>
      <c r="AB29" s="209">
        <f t="shared" si="2"/>
        <v>1.6935685112592906</v>
      </c>
    </row>
    <row r="30" spans="1:28" ht="27.75" customHeight="1" thickBot="1" x14ac:dyDescent="0.35">
      <c r="A30" s="461"/>
      <c r="B30" s="515" t="s">
        <v>62</v>
      </c>
      <c r="C30" s="516"/>
      <c r="D30" s="517"/>
      <c r="E30" s="157"/>
      <c r="F30" s="158"/>
      <c r="G30" s="159"/>
      <c r="H30" s="158"/>
      <c r="I30" s="160"/>
      <c r="J30" s="165"/>
      <c r="K30" s="226"/>
      <c r="L30" s="228">
        <f>L29</f>
        <v>7.5679600000000002</v>
      </c>
      <c r="M30" s="228">
        <f t="shared" ref="M30:P30" si="67">M29</f>
        <v>10.723100000000001</v>
      </c>
      <c r="N30" s="229">
        <f t="shared" si="67"/>
        <v>128.6772</v>
      </c>
      <c r="O30" s="187">
        <f t="shared" si="67"/>
        <v>3.1551399999999994</v>
      </c>
      <c r="P30" s="237" t="e">
        <f t="shared" si="67"/>
        <v>#REF!</v>
      </c>
      <c r="Q30" s="230">
        <f t="shared" si="48"/>
        <v>1.4169075946490204</v>
      </c>
      <c r="R30" s="193"/>
      <c r="S30" s="226"/>
      <c r="T30" s="226"/>
      <c r="U30" s="227"/>
      <c r="V30" s="228">
        <f>V29</f>
        <v>6.3316600000000003</v>
      </c>
      <c r="W30" s="228">
        <f t="shared" ref="W30:Z30" si="68">W29</f>
        <v>75.979920000000007</v>
      </c>
      <c r="X30" s="228">
        <f t="shared" si="68"/>
        <v>10.723100000000001</v>
      </c>
      <c r="Y30" s="228">
        <f t="shared" si="68"/>
        <v>128.6772</v>
      </c>
      <c r="Z30" s="186">
        <f t="shared" si="68"/>
        <v>4.3914399999999993</v>
      </c>
      <c r="AA30" s="237">
        <f t="shared" ref="AA30" si="69">AA29</f>
        <v>52.697279999999992</v>
      </c>
      <c r="AB30" s="230">
        <f t="shared" si="2"/>
        <v>1.6935685112592906</v>
      </c>
    </row>
    <row r="31" spans="1:28" ht="18" customHeight="1" x14ac:dyDescent="0.25">
      <c r="A31" s="156" t="s">
        <v>45</v>
      </c>
      <c r="B31" s="527" t="s">
        <v>44</v>
      </c>
      <c r="C31" s="527"/>
    </row>
    <row r="36" spans="5:10" x14ac:dyDescent="0.25">
      <c r="F36" s="179"/>
      <c r="H36" s="179"/>
    </row>
    <row r="37" spans="5:10" x14ac:dyDescent="0.25">
      <c r="F37" s="179"/>
      <c r="H37" s="179"/>
    </row>
    <row r="38" spans="5:10" x14ac:dyDescent="0.25">
      <c r="E38" s="2"/>
      <c r="F38" s="179"/>
      <c r="G38" s="2"/>
      <c r="H38" s="179"/>
      <c r="I38" s="2"/>
      <c r="J38" s="2"/>
    </row>
    <row r="39" spans="5:10" x14ac:dyDescent="0.25">
      <c r="F39" s="179"/>
      <c r="H39" s="179"/>
    </row>
    <row r="40" spans="5:10" x14ac:dyDescent="0.25">
      <c r="F40" s="179"/>
      <c r="H40" s="179"/>
    </row>
    <row r="41" spans="5:10" x14ac:dyDescent="0.25">
      <c r="F41" s="179"/>
      <c r="H41" s="179"/>
    </row>
    <row r="42" spans="5:10" x14ac:dyDescent="0.25">
      <c r="F42" s="179"/>
      <c r="H42" s="179"/>
    </row>
    <row r="43" spans="5:10" x14ac:dyDescent="0.25">
      <c r="F43" s="179"/>
      <c r="H43" s="179"/>
    </row>
    <row r="44" spans="5:10" x14ac:dyDescent="0.25">
      <c r="F44" s="179"/>
      <c r="H44" s="179"/>
    </row>
    <row r="45" spans="5:10" x14ac:dyDescent="0.25">
      <c r="F45" s="179"/>
      <c r="H45" s="179"/>
    </row>
    <row r="46" spans="5:10" x14ac:dyDescent="0.25">
      <c r="F46" s="179"/>
      <c r="H46" s="179"/>
    </row>
    <row r="47" spans="5:10" x14ac:dyDescent="0.25">
      <c r="F47" s="179"/>
      <c r="H47" s="179"/>
    </row>
    <row r="48" spans="5:10" x14ac:dyDescent="0.25">
      <c r="F48" s="179"/>
      <c r="H48" s="179"/>
    </row>
    <row r="49" spans="6:8" x14ac:dyDescent="0.25">
      <c r="F49" s="179"/>
      <c r="H49" s="179"/>
    </row>
    <row r="50" spans="6:8" x14ac:dyDescent="0.25">
      <c r="F50" s="179"/>
      <c r="H50" s="179"/>
    </row>
    <row r="51" spans="6:8" x14ac:dyDescent="0.25">
      <c r="F51" s="179"/>
      <c r="H51" s="179"/>
    </row>
    <row r="52" spans="6:8" x14ac:dyDescent="0.25">
      <c r="F52" s="179"/>
      <c r="H52" s="179"/>
    </row>
    <row r="53" spans="6:8" x14ac:dyDescent="0.25">
      <c r="F53" s="179"/>
      <c r="H53" s="179"/>
    </row>
    <row r="54" spans="6:8" x14ac:dyDescent="0.25">
      <c r="F54" s="179"/>
      <c r="H54" s="179"/>
    </row>
    <row r="55" spans="6:8" x14ac:dyDescent="0.25">
      <c r="F55" s="179"/>
      <c r="H55" s="179"/>
    </row>
    <row r="56" spans="6:8" x14ac:dyDescent="0.25">
      <c r="F56" s="179"/>
      <c r="H56" s="179"/>
    </row>
    <row r="57" spans="6:8" x14ac:dyDescent="0.25">
      <c r="F57" s="179"/>
      <c r="H57" s="179"/>
    </row>
    <row r="58" spans="6:8" x14ac:dyDescent="0.25">
      <c r="F58" s="179"/>
      <c r="H58" s="179"/>
    </row>
    <row r="59" spans="6:8" x14ac:dyDescent="0.25">
      <c r="F59" s="179"/>
      <c r="H59" s="179"/>
    </row>
    <row r="60" spans="6:8" x14ac:dyDescent="0.25">
      <c r="F60" s="179"/>
      <c r="H60" s="179"/>
    </row>
    <row r="61" spans="6:8" x14ac:dyDescent="0.25">
      <c r="F61" s="179"/>
      <c r="H61" s="179"/>
    </row>
    <row r="62" spans="6:8" x14ac:dyDescent="0.25">
      <c r="F62" s="179"/>
      <c r="H62" s="179"/>
    </row>
    <row r="63" spans="6:8" x14ac:dyDescent="0.25">
      <c r="F63" s="179"/>
      <c r="H63" s="179"/>
    </row>
    <row r="64" spans="6:8" x14ac:dyDescent="0.25">
      <c r="F64" s="179"/>
      <c r="H64" s="179"/>
    </row>
    <row r="65" spans="6:8" x14ac:dyDescent="0.25">
      <c r="F65" s="179"/>
      <c r="H65" s="179"/>
    </row>
    <row r="66" spans="6:8" x14ac:dyDescent="0.25">
      <c r="F66" s="179"/>
      <c r="H66" s="179"/>
    </row>
    <row r="67" spans="6:8" x14ac:dyDescent="0.25">
      <c r="F67" s="179"/>
      <c r="H67" s="179"/>
    </row>
    <row r="68" spans="6:8" x14ac:dyDescent="0.25">
      <c r="F68" s="179"/>
      <c r="H68" s="179"/>
    </row>
    <row r="69" spans="6:8" x14ac:dyDescent="0.25">
      <c r="F69" s="179"/>
      <c r="H69" s="179"/>
    </row>
    <row r="70" spans="6:8" x14ac:dyDescent="0.25">
      <c r="F70" s="179"/>
      <c r="H70" s="179"/>
    </row>
    <row r="71" spans="6:8" x14ac:dyDescent="0.25">
      <c r="F71" s="179"/>
      <c r="H71" s="179"/>
    </row>
    <row r="72" spans="6:8" x14ac:dyDescent="0.25">
      <c r="F72" s="179"/>
      <c r="H72" s="179"/>
    </row>
    <row r="73" spans="6:8" x14ac:dyDescent="0.25">
      <c r="F73" s="179"/>
      <c r="H73" s="179"/>
    </row>
    <row r="74" spans="6:8" x14ac:dyDescent="0.25">
      <c r="F74" s="179"/>
      <c r="H74" s="179"/>
    </row>
    <row r="75" spans="6:8" x14ac:dyDescent="0.25">
      <c r="F75" s="179"/>
      <c r="H75" s="179"/>
    </row>
    <row r="76" spans="6:8" x14ac:dyDescent="0.25">
      <c r="F76" s="179"/>
      <c r="H76" s="179"/>
    </row>
    <row r="77" spans="6:8" x14ac:dyDescent="0.25">
      <c r="F77" s="179"/>
      <c r="H77" s="179"/>
    </row>
    <row r="78" spans="6:8" x14ac:dyDescent="0.25">
      <c r="F78" s="179"/>
      <c r="H78" s="179"/>
    </row>
    <row r="79" spans="6:8" x14ac:dyDescent="0.25">
      <c r="F79" s="179"/>
      <c r="H79" s="179"/>
    </row>
  </sheetData>
  <mergeCells count="23">
    <mergeCell ref="Z4:AA4"/>
    <mergeCell ref="S3:AB3"/>
    <mergeCell ref="A2:D2"/>
    <mergeCell ref="M4:N4"/>
    <mergeCell ref="O4:P4"/>
    <mergeCell ref="S4:U4"/>
    <mergeCell ref="G4:H4"/>
    <mergeCell ref="V4:W4"/>
    <mergeCell ref="X4:Y4"/>
    <mergeCell ref="B31:C31"/>
    <mergeCell ref="B6:B9"/>
    <mergeCell ref="B10:B14"/>
    <mergeCell ref="B25:D25"/>
    <mergeCell ref="B26:B29"/>
    <mergeCell ref="B30:D30"/>
    <mergeCell ref="A26:A30"/>
    <mergeCell ref="K3:Q3"/>
    <mergeCell ref="A6:A15"/>
    <mergeCell ref="B15:D15"/>
    <mergeCell ref="A16:A25"/>
    <mergeCell ref="B16:B19"/>
    <mergeCell ref="B20:B24"/>
    <mergeCell ref="E4:F4"/>
  </mergeCells>
  <pageMargins left="0.23622047244094491" right="0.23622047244094491" top="0.74803149606299213" bottom="0.74803149606299213" header="0.31496062992125984" footer="0.31496062992125984"/>
  <pageSetup paperSize="9" scale="57" fitToWidth="2" orientation="landscape" r:id="rId1"/>
  <headerFooter>
    <oddHeader>&amp;L&amp;G&amp;CPrimerjava prodajnih cen VOKA&amp;RPredlog 1</oddHeader>
    <oddFooter>&amp;LRavne na Koroškem, 8.11.2013
Andreja Jehart&amp;RStran &amp;P/&amp;N</oddFooter>
  </headerFooter>
  <colBreaks count="1" manualBreakCount="1">
    <brk id="10" max="1048575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3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G54" sqref="G54"/>
    </sheetView>
  </sheetViews>
  <sheetFormatPr defaultRowHeight="15.75" outlineLevelRow="1" outlineLevelCol="1" x14ac:dyDescent="0.25"/>
  <cols>
    <col min="1" max="1" width="10.7109375" customWidth="1"/>
    <col min="2" max="2" width="17.5703125" customWidth="1"/>
    <col min="3" max="3" width="34" customWidth="1"/>
    <col min="4" max="4" width="10.28515625" customWidth="1"/>
    <col min="5" max="10" width="22.5703125" customWidth="1" outlineLevel="1"/>
    <col min="11" max="11" width="17.42578125" customWidth="1"/>
    <col min="12" max="13" width="14.42578125" customWidth="1"/>
    <col min="14" max="14" width="15.7109375" customWidth="1"/>
    <col min="15" max="15" width="18.7109375" customWidth="1"/>
    <col min="16" max="16" width="3.5703125" customWidth="1"/>
    <col min="17" max="17" width="12.7109375" customWidth="1"/>
    <col min="18" max="18" width="11.7109375" customWidth="1"/>
    <col min="19" max="21" width="14.42578125" customWidth="1"/>
    <col min="22" max="22" width="19" customWidth="1"/>
    <col min="24" max="25" width="0" hidden="1" customWidth="1"/>
  </cols>
  <sheetData>
    <row r="1" spans="1:25" ht="20.25" customHeight="1" x14ac:dyDescent="0.25">
      <c r="A1" s="248"/>
      <c r="B1" s="248"/>
      <c r="C1" s="248"/>
    </row>
    <row r="2" spans="1:25" ht="19.5" customHeight="1" thickBot="1" x14ac:dyDescent="0.35">
      <c r="A2" s="124" t="s">
        <v>47</v>
      </c>
      <c r="D2" s="243"/>
      <c r="I2" s="2"/>
      <c r="K2" s="250" t="s">
        <v>84</v>
      </c>
      <c r="L2" s="242">
        <v>3.8</v>
      </c>
      <c r="M2" s="249" t="s">
        <v>83</v>
      </c>
    </row>
    <row r="3" spans="1:25" s="174" customFormat="1" ht="27" customHeight="1" thickTop="1" x14ac:dyDescent="0.25">
      <c r="A3" s="545" t="s">
        <v>101</v>
      </c>
      <c r="B3" s="545"/>
      <c r="C3" s="545"/>
      <c r="E3" s="525" t="s">
        <v>49</v>
      </c>
      <c r="F3" s="526"/>
      <c r="G3" s="525" t="s">
        <v>76</v>
      </c>
      <c r="H3" s="526"/>
      <c r="I3" s="175"/>
      <c r="J3" s="176"/>
      <c r="K3" s="512" t="s">
        <v>69</v>
      </c>
      <c r="L3" s="513"/>
      <c r="M3" s="513"/>
      <c r="N3" s="513"/>
      <c r="O3" s="514"/>
      <c r="P3" s="327">
        <v>0.02</v>
      </c>
      <c r="Q3" s="512" t="s">
        <v>85</v>
      </c>
      <c r="R3" s="513"/>
      <c r="S3" s="513"/>
      <c r="T3" s="513"/>
      <c r="U3" s="513"/>
      <c r="V3" s="514"/>
    </row>
    <row r="4" spans="1:25" ht="49.5" customHeight="1" thickBot="1" x14ac:dyDescent="0.3">
      <c r="A4" s="166" t="s">
        <v>0</v>
      </c>
      <c r="B4" s="167" t="s">
        <v>1</v>
      </c>
      <c r="C4" s="167" t="s">
        <v>2</v>
      </c>
      <c r="D4" s="178" t="s">
        <v>3</v>
      </c>
      <c r="E4" s="49" t="s">
        <v>63</v>
      </c>
      <c r="F4" s="168" t="s">
        <v>64</v>
      </c>
      <c r="G4" s="49" t="s">
        <v>63</v>
      </c>
      <c r="H4" s="168" t="s">
        <v>64</v>
      </c>
      <c r="I4" s="50" t="s">
        <v>33</v>
      </c>
      <c r="J4" s="50" t="s">
        <v>50</v>
      </c>
      <c r="K4" s="245" t="s">
        <v>78</v>
      </c>
      <c r="L4" s="244" t="s">
        <v>79</v>
      </c>
      <c r="M4" s="244" t="s">
        <v>80</v>
      </c>
      <c r="N4" s="244" t="s">
        <v>81</v>
      </c>
      <c r="O4" s="238" t="s">
        <v>66</v>
      </c>
      <c r="Q4" s="530" t="s">
        <v>82</v>
      </c>
      <c r="R4" s="530"/>
      <c r="S4" s="284" t="s">
        <v>79</v>
      </c>
      <c r="T4" s="284" t="s">
        <v>80</v>
      </c>
      <c r="U4" s="284" t="s">
        <v>81</v>
      </c>
      <c r="V4" s="285" t="s">
        <v>66</v>
      </c>
    </row>
    <row r="5" spans="1:25" ht="27.75" hidden="1" customHeight="1" outlineLevel="1" x14ac:dyDescent="0.3">
      <c r="A5" s="464" t="s">
        <v>5</v>
      </c>
      <c r="B5" s="519" t="s">
        <v>6</v>
      </c>
      <c r="C5" s="143" t="s">
        <v>30</v>
      </c>
      <c r="D5" s="144" t="s">
        <v>7</v>
      </c>
      <c r="E5" s="145">
        <v>3.7061999999999999</v>
      </c>
      <c r="F5" s="146">
        <f>ROUND(E5,4)*1.095</f>
        <v>4.0582890000000003</v>
      </c>
      <c r="G5" s="147">
        <f>[1]VOKA_Omrežnina_predrač.2014_2!$P$12</f>
        <v>2.3874280765175477</v>
      </c>
      <c r="H5" s="146">
        <f>ROUND(G5,4)*1.095</f>
        <v>2.6142029999999998</v>
      </c>
      <c r="I5" s="148">
        <f>H5-F5</f>
        <v>-1.4440860000000004</v>
      </c>
      <c r="J5" s="149">
        <f>G5/E5</f>
        <v>0.64417140912998427</v>
      </c>
      <c r="K5" s="188">
        <v>1</v>
      </c>
      <c r="L5" s="190">
        <f>K5*F5</f>
        <v>4.0582890000000003</v>
      </c>
      <c r="M5" s="190">
        <f>K5*H5</f>
        <v>2.6142029999999998</v>
      </c>
      <c r="N5" s="190">
        <f>M5-L5</f>
        <v>-1.4440860000000004</v>
      </c>
      <c r="O5" s="192"/>
      <c r="P5" s="193"/>
      <c r="Q5" s="194" t="s">
        <v>73</v>
      </c>
      <c r="R5" s="188">
        <v>1</v>
      </c>
      <c r="S5" s="190">
        <v>0.83630000000000004</v>
      </c>
      <c r="T5" s="190">
        <f>R5*H5</f>
        <v>2.6142029999999998</v>
      </c>
      <c r="U5" s="190">
        <f>T5-S5</f>
        <v>1.7779029999999998</v>
      </c>
      <c r="V5" s="313"/>
    </row>
    <row r="6" spans="1:25" ht="27.75" hidden="1" customHeight="1" outlineLevel="1" x14ac:dyDescent="0.3">
      <c r="A6" s="464"/>
      <c r="B6" s="519"/>
      <c r="C6" s="143" t="s">
        <v>94</v>
      </c>
      <c r="D6" s="144" t="s">
        <v>7</v>
      </c>
      <c r="E6" s="145"/>
      <c r="F6" s="146"/>
      <c r="G6" s="147">
        <f>[1]VOKA_Omrežnina_predrač.2014_2!$AH$12</f>
        <v>-0.82101806239737274</v>
      </c>
      <c r="H6" s="146">
        <f>ROUND(G6,4)*1.095</f>
        <v>-0.89899499999999988</v>
      </c>
      <c r="I6" s="148">
        <f>H6-F6</f>
        <v>-0.89899499999999988</v>
      </c>
      <c r="J6" s="149"/>
      <c r="K6" s="188">
        <v>1</v>
      </c>
      <c r="L6" s="190"/>
      <c r="M6" s="190"/>
      <c r="N6" s="190"/>
      <c r="O6" s="192"/>
      <c r="P6" s="193"/>
      <c r="Q6" s="194"/>
      <c r="R6" s="188">
        <v>1</v>
      </c>
      <c r="S6" s="190"/>
      <c r="T6" s="190"/>
      <c r="U6" s="190"/>
      <c r="V6" s="313"/>
    </row>
    <row r="7" spans="1:25" ht="27.75" hidden="1" customHeight="1" outlineLevel="1" x14ac:dyDescent="0.3">
      <c r="A7" s="464"/>
      <c r="B7" s="519"/>
      <c r="C7" s="143" t="s">
        <v>77</v>
      </c>
      <c r="D7" s="144" t="s">
        <v>7</v>
      </c>
      <c r="E7" s="145"/>
      <c r="F7" s="146"/>
      <c r="G7" s="147">
        <f>[1]VOKA_Omrežnina_predrač.2014_2!$AD$12</f>
        <v>-0.83739505597014929</v>
      </c>
      <c r="H7" s="146">
        <f t="shared" ref="H7:H9" si="0">ROUND(G7,4)*1.095</f>
        <v>-0.91695300000000002</v>
      </c>
      <c r="I7" s="148">
        <f>H7-F7</f>
        <v>-0.91695300000000002</v>
      </c>
      <c r="J7" s="149"/>
      <c r="K7" s="239"/>
      <c r="L7" s="240"/>
      <c r="M7" s="240"/>
      <c r="N7" s="240"/>
      <c r="O7" s="241"/>
      <c r="P7" s="193"/>
      <c r="Q7" s="194"/>
      <c r="R7" s="188"/>
      <c r="S7" s="190"/>
      <c r="T7" s="190"/>
      <c r="U7" s="190"/>
      <c r="V7" s="313"/>
    </row>
    <row r="8" spans="1:25" ht="27.75" hidden="1" customHeight="1" outlineLevel="1" x14ac:dyDescent="0.3">
      <c r="A8" s="464"/>
      <c r="B8" s="519"/>
      <c r="C8" s="3" t="s">
        <v>8</v>
      </c>
      <c r="D8" s="76" t="s">
        <v>9</v>
      </c>
      <c r="E8" s="12">
        <v>0.29499999999999998</v>
      </c>
      <c r="F8" s="69">
        <f>ROUND(E8,4)*1.095</f>
        <v>0.32302499999999995</v>
      </c>
      <c r="G8" s="246">
        <f>'[1]VOKA_Predr. obdobje plan 2014'!$AG$72</f>
        <v>0.43321784092427718</v>
      </c>
      <c r="H8" s="69">
        <f t="shared" si="0"/>
        <v>0.47435399999999994</v>
      </c>
      <c r="I8" s="64">
        <f t="shared" ref="I8:I36" si="1">H8-F8</f>
        <v>0.15132899999999999</v>
      </c>
      <c r="J8" s="113">
        <f t="shared" ref="J8:J36" si="2">G8/E8</f>
        <v>1.4685350539806006</v>
      </c>
      <c r="K8" s="195">
        <f>4*$L$2</f>
        <v>15.2</v>
      </c>
      <c r="L8" s="197">
        <f>K8*F8</f>
        <v>4.9099799999999991</v>
      </c>
      <c r="M8" s="197">
        <f>K8*H8</f>
        <v>7.2101807999999989</v>
      </c>
      <c r="N8" s="197">
        <f>M8-L8</f>
        <v>2.3002007999999998</v>
      </c>
      <c r="O8" s="199"/>
      <c r="P8" s="193"/>
      <c r="Q8" s="195">
        <f>4*$L$2</f>
        <v>15.2</v>
      </c>
      <c r="R8" s="195">
        <f>4*$L$2</f>
        <v>15.2</v>
      </c>
      <c r="S8" s="197">
        <f>Q8*F8</f>
        <v>4.9099799999999991</v>
      </c>
      <c r="T8" s="197">
        <f>R8*H8</f>
        <v>7.2101807999999989</v>
      </c>
      <c r="U8" s="197">
        <f>T8-S8</f>
        <v>2.3002007999999998</v>
      </c>
      <c r="V8" s="314"/>
      <c r="X8">
        <f>N8/4</f>
        <v>0.57505019999999996</v>
      </c>
    </row>
    <row r="9" spans="1:25" ht="27.75" hidden="1" customHeight="1" outlineLevel="1" x14ac:dyDescent="0.3">
      <c r="A9" s="464"/>
      <c r="B9" s="519"/>
      <c r="C9" s="4" t="s">
        <v>10</v>
      </c>
      <c r="D9" s="77" t="s">
        <v>9</v>
      </c>
      <c r="E9" s="9">
        <v>6.3799999999999996E-2</v>
      </c>
      <c r="F9" s="70">
        <f>ROUND(E9,4)*1.095</f>
        <v>6.9860999999999993E-2</v>
      </c>
      <c r="G9" s="60">
        <v>6.3799999999999996E-2</v>
      </c>
      <c r="H9" s="70">
        <f t="shared" si="0"/>
        <v>6.9860999999999993E-2</v>
      </c>
      <c r="I9" s="65">
        <f t="shared" si="1"/>
        <v>0</v>
      </c>
      <c r="J9" s="114">
        <f t="shared" si="2"/>
        <v>1</v>
      </c>
      <c r="K9" s="200">
        <f>4*$L$2</f>
        <v>15.2</v>
      </c>
      <c r="L9" s="202">
        <f>K9*F9</f>
        <v>1.0618871999999999</v>
      </c>
      <c r="M9" s="202">
        <f>K9*H9</f>
        <v>1.0618871999999999</v>
      </c>
      <c r="N9" s="202">
        <f>M9-L9</f>
        <v>0</v>
      </c>
      <c r="O9" s="204"/>
      <c r="P9" s="193"/>
      <c r="Q9" s="200">
        <f>4*$L$2</f>
        <v>15.2</v>
      </c>
      <c r="R9" s="200">
        <f>4*$L$2</f>
        <v>15.2</v>
      </c>
      <c r="S9" s="202">
        <f>Q9*F9</f>
        <v>1.0618871999999999</v>
      </c>
      <c r="T9" s="202">
        <f>R9*H9</f>
        <v>1.0618871999999999</v>
      </c>
      <c r="U9" s="202">
        <f>T9-S9</f>
        <v>0</v>
      </c>
      <c r="V9" s="315"/>
    </row>
    <row r="10" spans="1:25" ht="27.75" hidden="1" customHeight="1" outlineLevel="1" x14ac:dyDescent="0.3">
      <c r="A10" s="464"/>
      <c r="B10" s="520"/>
      <c r="C10" s="154" t="s">
        <v>60</v>
      </c>
      <c r="D10" s="139"/>
      <c r="E10" s="150"/>
      <c r="F10" s="140"/>
      <c r="G10" s="150"/>
      <c r="H10" s="140"/>
      <c r="I10" s="151"/>
      <c r="J10" s="163"/>
      <c r="K10" s="205"/>
      <c r="L10" s="207">
        <f>SUM(L5:L9)</f>
        <v>10.030156199999999</v>
      </c>
      <c r="M10" s="207">
        <f t="shared" ref="M10:N10" si="3">SUM(M5:M9)</f>
        <v>10.886270999999999</v>
      </c>
      <c r="N10" s="207">
        <f t="shared" si="3"/>
        <v>0.8561147999999994</v>
      </c>
      <c r="O10" s="254">
        <f t="shared" ref="O10" si="4">M10/L10</f>
        <v>1.0853540845156529</v>
      </c>
      <c r="P10" s="193"/>
      <c r="Q10" s="205"/>
      <c r="R10" s="205"/>
      <c r="S10" s="207">
        <f>SUM(S5:S9)</f>
        <v>6.8081671999999989</v>
      </c>
      <c r="T10" s="207">
        <f t="shared" ref="T10:U10" si="5">SUM(T5:T9)</f>
        <v>10.886270999999999</v>
      </c>
      <c r="U10" s="207">
        <f t="shared" si="5"/>
        <v>4.0781037999999992</v>
      </c>
      <c r="V10" s="316">
        <f t="shared" ref="V10" si="6">T10/S10</f>
        <v>1.5990017107687955</v>
      </c>
    </row>
    <row r="11" spans="1:25" ht="27.75" hidden="1" customHeight="1" outlineLevel="1" x14ac:dyDescent="0.3">
      <c r="A11" s="464"/>
      <c r="B11" s="521" t="s">
        <v>11</v>
      </c>
      <c r="C11" s="143" t="s">
        <v>30</v>
      </c>
      <c r="D11" s="144" t="s">
        <v>7</v>
      </c>
      <c r="E11" s="145">
        <v>3.6331000000000002</v>
      </c>
      <c r="F11" s="146">
        <f t="shared" ref="F11:F14" si="7">ROUND(E11,4)*1.095</f>
        <v>3.9782445000000002</v>
      </c>
      <c r="G11" s="147">
        <f>[1]VOKA_Omrežnina_predrač.2014_2!$Q$12</f>
        <v>3.5094837324898331</v>
      </c>
      <c r="H11" s="146">
        <f t="shared" ref="H11:H14" si="8">ROUND(G11,4)*1.095</f>
        <v>3.8429025000000001</v>
      </c>
      <c r="I11" s="148">
        <f t="shared" si="1"/>
        <v>-0.13534200000000007</v>
      </c>
      <c r="J11" s="149">
        <f t="shared" si="2"/>
        <v>0.96597498898732015</v>
      </c>
      <c r="K11" s="188">
        <v>1</v>
      </c>
      <c r="L11" s="190">
        <f>K11*F11</f>
        <v>3.9782445000000002</v>
      </c>
      <c r="M11" s="190">
        <f>K11*H11</f>
        <v>3.8429025000000001</v>
      </c>
      <c r="N11" s="190">
        <f>M11-L11</f>
        <v>-0.13534200000000007</v>
      </c>
      <c r="O11" s="192"/>
      <c r="P11" s="193"/>
      <c r="Q11" s="194" t="s">
        <v>73</v>
      </c>
      <c r="R11" s="188">
        <v>1</v>
      </c>
      <c r="S11" s="190">
        <v>0.82199999999999995</v>
      </c>
      <c r="T11" s="190">
        <f>R11*H11</f>
        <v>3.8429025000000001</v>
      </c>
      <c r="U11" s="190">
        <f>T11-S11</f>
        <v>3.0209025</v>
      </c>
      <c r="V11" s="313"/>
    </row>
    <row r="12" spans="1:25" ht="27.75" hidden="1" customHeight="1" outlineLevel="1" x14ac:dyDescent="0.3">
      <c r="A12" s="464"/>
      <c r="B12" s="522"/>
      <c r="C12" s="3" t="s">
        <v>8</v>
      </c>
      <c r="D12" s="76" t="s">
        <v>9</v>
      </c>
      <c r="E12" s="12">
        <v>0.21279999999999999</v>
      </c>
      <c r="F12" s="69">
        <f t="shared" si="7"/>
        <v>0.23301599999999997</v>
      </c>
      <c r="G12" s="247">
        <f>'[1]VOKA_Predr. obdobje plan 2014'!$AW$72</f>
        <v>0.28974110730242286</v>
      </c>
      <c r="H12" s="69">
        <f t="shared" si="8"/>
        <v>0.31722149999999999</v>
      </c>
      <c r="I12" s="64">
        <f t="shared" si="1"/>
        <v>8.4205500000000016E-2</v>
      </c>
      <c r="J12" s="113">
        <f t="shared" si="2"/>
        <v>1.3615653538647692</v>
      </c>
      <c r="K12" s="195">
        <f>4*$L$2</f>
        <v>15.2</v>
      </c>
      <c r="L12" s="197">
        <f>K12*F12</f>
        <v>3.5418431999999993</v>
      </c>
      <c r="M12" s="197">
        <f>K12*H12</f>
        <v>4.8217667999999998</v>
      </c>
      <c r="N12" s="197">
        <f>M12-L12</f>
        <v>1.2799236000000005</v>
      </c>
      <c r="O12" s="199"/>
      <c r="P12" s="193"/>
      <c r="Q12" s="195">
        <f>4*$L$2</f>
        <v>15.2</v>
      </c>
      <c r="R12" s="195">
        <f>4*$L$2</f>
        <v>15.2</v>
      </c>
      <c r="S12" s="197">
        <f>Q12*F12</f>
        <v>3.5418431999999993</v>
      </c>
      <c r="T12" s="197">
        <f>R12*H12</f>
        <v>4.8217667999999998</v>
      </c>
      <c r="U12" s="197">
        <f>T12-S12</f>
        <v>1.2799236000000005</v>
      </c>
      <c r="V12" s="314"/>
      <c r="X12">
        <f>N12/4</f>
        <v>0.31998090000000012</v>
      </c>
    </row>
    <row r="13" spans="1:25" ht="27.75" hidden="1" customHeight="1" outlineLevel="1" x14ac:dyDescent="0.3">
      <c r="A13" s="464"/>
      <c r="B13" s="522"/>
      <c r="C13" s="3" t="s">
        <v>42</v>
      </c>
      <c r="D13" s="76" t="s">
        <v>9</v>
      </c>
      <c r="E13" s="12">
        <v>0.52829999999999999</v>
      </c>
      <c r="F13" s="69">
        <f>ROUND(E13,4)*1</f>
        <v>0.52829999999999999</v>
      </c>
      <c r="G13" s="59">
        <v>0.52829999999999999</v>
      </c>
      <c r="H13" s="69">
        <f>ROUND(G13,4)*1</f>
        <v>0.52829999999999999</v>
      </c>
      <c r="I13" s="64">
        <f t="shared" si="1"/>
        <v>0</v>
      </c>
      <c r="J13" s="113">
        <f t="shared" si="2"/>
        <v>1</v>
      </c>
      <c r="K13" s="195">
        <f>4*$L$2</f>
        <v>15.2</v>
      </c>
      <c r="L13" s="197">
        <f>K13*F13</f>
        <v>8.0301599999999986</v>
      </c>
      <c r="M13" s="197">
        <f>K13*H13</f>
        <v>8.0301599999999986</v>
      </c>
      <c r="N13" s="197">
        <f>M13-L13</f>
        <v>0</v>
      </c>
      <c r="O13" s="199"/>
      <c r="P13" s="193"/>
      <c r="Q13" s="195">
        <f>4*$L$2</f>
        <v>15.2</v>
      </c>
      <c r="R13" s="195">
        <f>4*$L$2</f>
        <v>15.2</v>
      </c>
      <c r="S13" s="197">
        <f>Q13*F13</f>
        <v>8.0301599999999986</v>
      </c>
      <c r="T13" s="197">
        <f>R13*H13</f>
        <v>8.0301599999999986</v>
      </c>
      <c r="U13" s="197">
        <f>T13-S13</f>
        <v>0</v>
      </c>
      <c r="V13" s="314"/>
    </row>
    <row r="14" spans="1:25" ht="27.75" hidden="1" customHeight="1" outlineLevel="1" x14ac:dyDescent="0.3">
      <c r="A14" s="464"/>
      <c r="B14" s="523"/>
      <c r="C14" s="180" t="s">
        <v>75</v>
      </c>
      <c r="D14" s="76" t="s">
        <v>9</v>
      </c>
      <c r="E14" s="181">
        <v>48.2</v>
      </c>
      <c r="F14" s="185">
        <f t="shared" si="7"/>
        <v>52.779000000000003</v>
      </c>
      <c r="G14" s="182">
        <v>49.392000000000003</v>
      </c>
      <c r="H14" s="185">
        <f t="shared" si="8"/>
        <v>54.084240000000001</v>
      </c>
      <c r="I14" s="183">
        <f t="shared" si="1"/>
        <v>1.3052399999999977</v>
      </c>
      <c r="J14" s="184">
        <f t="shared" si="2"/>
        <v>1.0247302904564315</v>
      </c>
      <c r="K14" s="210"/>
      <c r="L14" s="212"/>
      <c r="M14" s="212"/>
      <c r="N14" s="214"/>
      <c r="O14" s="216"/>
      <c r="P14" s="193"/>
      <c r="Q14" s="210"/>
      <c r="R14" s="210"/>
      <c r="S14" s="212"/>
      <c r="T14" s="212"/>
      <c r="U14" s="212"/>
      <c r="V14" s="317"/>
    </row>
    <row r="15" spans="1:25" ht="27.75" hidden="1" customHeight="1" outlineLevel="1" x14ac:dyDescent="0.3">
      <c r="A15" s="464"/>
      <c r="B15" s="524"/>
      <c r="C15" s="155" t="s">
        <v>61</v>
      </c>
      <c r="D15" s="141"/>
      <c r="E15" s="152"/>
      <c r="F15" s="142"/>
      <c r="G15" s="152"/>
      <c r="H15" s="142"/>
      <c r="I15" s="153"/>
      <c r="J15" s="164"/>
      <c r="K15" s="219"/>
      <c r="L15" s="223">
        <f>SUM(L11:L13)</f>
        <v>15.550247699999998</v>
      </c>
      <c r="M15" s="223">
        <f t="shared" ref="M15:N15" si="9">SUM(M11:M13)</f>
        <v>16.694829299999999</v>
      </c>
      <c r="N15" s="223">
        <f t="shared" si="9"/>
        <v>1.1445816000000004</v>
      </c>
      <c r="O15" s="312">
        <f>M15/L15</f>
        <v>1.0736053612830876</v>
      </c>
      <c r="P15" s="193"/>
      <c r="Q15" s="219"/>
      <c r="R15" s="219"/>
      <c r="S15" s="223">
        <f>SUM(S11:S13)</f>
        <v>12.394003199999997</v>
      </c>
      <c r="T15" s="223">
        <f t="shared" ref="T15:U15" si="10">SUM(T11:T13)</f>
        <v>16.694829299999999</v>
      </c>
      <c r="U15" s="223">
        <f t="shared" si="10"/>
        <v>4.3008261000000001</v>
      </c>
      <c r="V15" s="318">
        <f>T15/S15-P3</f>
        <v>1.3270086323682733</v>
      </c>
    </row>
    <row r="16" spans="1:25" ht="27.75" customHeight="1" collapsed="1" thickBot="1" x14ac:dyDescent="0.35">
      <c r="A16" s="465"/>
      <c r="B16" s="515" t="s">
        <v>62</v>
      </c>
      <c r="C16" s="516"/>
      <c r="D16" s="517"/>
      <c r="E16" s="157"/>
      <c r="F16" s="158"/>
      <c r="G16" s="159"/>
      <c r="H16" s="158"/>
      <c r="I16" s="160"/>
      <c r="J16" s="165"/>
      <c r="K16" s="226"/>
      <c r="L16" s="228">
        <f>L10+L15</f>
        <v>25.580403899999997</v>
      </c>
      <c r="M16" s="228">
        <f t="shared" ref="M16:N16" si="11">M10+M15</f>
        <v>27.581100299999996</v>
      </c>
      <c r="N16" s="186">
        <f t="shared" si="11"/>
        <v>2.0006963999999998</v>
      </c>
      <c r="O16" s="230">
        <f>M16/L16</f>
        <v>1.0782120723277555</v>
      </c>
      <c r="P16" s="193"/>
      <c r="Q16" s="226"/>
      <c r="R16" s="226"/>
      <c r="S16" s="228">
        <f>S10+S15</f>
        <v>19.202170399999996</v>
      </c>
      <c r="T16" s="228">
        <f t="shared" ref="T16:U16" si="12">T10+T15</f>
        <v>27.581100299999996</v>
      </c>
      <c r="U16" s="186">
        <f t="shared" si="12"/>
        <v>8.3789298999999993</v>
      </c>
      <c r="V16" s="319">
        <f>T16/S16-P3</f>
        <v>1.4163532728571142</v>
      </c>
      <c r="X16" s="2">
        <f>N16/4</f>
        <v>0.50017409999999995</v>
      </c>
      <c r="Y16" s="2">
        <f>U16/4</f>
        <v>2.0947324749999998</v>
      </c>
    </row>
    <row r="17" spans="1:25" ht="27.75" customHeight="1" outlineLevel="1" x14ac:dyDescent="0.3">
      <c r="A17" s="463" t="s">
        <v>12</v>
      </c>
      <c r="B17" s="518" t="s">
        <v>6</v>
      </c>
      <c r="C17" s="132" t="s">
        <v>30</v>
      </c>
      <c r="D17" s="133" t="s">
        <v>7</v>
      </c>
      <c r="E17" s="134">
        <v>3.2275</v>
      </c>
      <c r="F17" s="135">
        <f>ROUND(E17,4)*1.095</f>
        <v>3.5341125</v>
      </c>
      <c r="G17" s="136">
        <f>[1]VOKA_Omrežnina_predrač.2014_2!$P$23</f>
        <v>2.0541620450606586</v>
      </c>
      <c r="H17" s="135">
        <f t="shared" ref="H17:H20" si="13">ROUND(G17,4)*1.095</f>
        <v>2.2493489999999996</v>
      </c>
      <c r="I17" s="137">
        <f t="shared" si="1"/>
        <v>-1.2847635000000004</v>
      </c>
      <c r="J17" s="138">
        <f t="shared" si="2"/>
        <v>0.63645609451918161</v>
      </c>
      <c r="K17" s="231">
        <v>1</v>
      </c>
      <c r="L17" s="233">
        <f>K17*F17</f>
        <v>3.5341125</v>
      </c>
      <c r="M17" s="233">
        <f>K17*H17</f>
        <v>2.2493489999999996</v>
      </c>
      <c r="N17" s="233">
        <f>M17-L17</f>
        <v>-1.2847635000000004</v>
      </c>
      <c r="O17" s="235"/>
      <c r="P17" s="193"/>
      <c r="Q17" s="236" t="s">
        <v>73</v>
      </c>
      <c r="R17" s="231">
        <v>1</v>
      </c>
      <c r="S17" s="233">
        <v>1.0134000000000001</v>
      </c>
      <c r="T17" s="233">
        <f>R17*H17</f>
        <v>2.2493489999999996</v>
      </c>
      <c r="U17" s="233">
        <f>T17-S17</f>
        <v>1.2359489999999995</v>
      </c>
      <c r="V17" s="320"/>
    </row>
    <row r="18" spans="1:25" ht="27.75" customHeight="1" outlineLevel="1" x14ac:dyDescent="0.3">
      <c r="A18" s="464"/>
      <c r="B18" s="519"/>
      <c r="C18" s="143" t="s">
        <v>77</v>
      </c>
      <c r="D18" s="144" t="s">
        <v>7</v>
      </c>
      <c r="E18" s="145"/>
      <c r="F18" s="146"/>
      <c r="G18" s="147">
        <f>[1]VOKA_Omrežnina_predrač.2014_2!$AD$23</f>
        <v>-0.83739505597014929</v>
      </c>
      <c r="H18" s="146">
        <f t="shared" si="13"/>
        <v>-0.91695300000000002</v>
      </c>
      <c r="I18" s="148">
        <f>H18-F18</f>
        <v>-0.91695300000000002</v>
      </c>
      <c r="J18" s="149"/>
      <c r="K18" s="239"/>
      <c r="L18" s="240"/>
      <c r="M18" s="240"/>
      <c r="N18" s="240"/>
      <c r="O18" s="241"/>
      <c r="P18" s="193"/>
      <c r="Q18" s="194"/>
      <c r="R18" s="188">
        <v>1</v>
      </c>
      <c r="S18" s="190"/>
      <c r="T18" s="190">
        <f>R18*H18</f>
        <v>-0.91695300000000002</v>
      </c>
      <c r="U18" s="190">
        <f>T18-S18</f>
        <v>-0.91695300000000002</v>
      </c>
      <c r="V18" s="313"/>
    </row>
    <row r="19" spans="1:25" ht="27.75" customHeight="1" outlineLevel="1" x14ac:dyDescent="0.3">
      <c r="A19" s="464"/>
      <c r="B19" s="519"/>
      <c r="C19" s="3" t="s">
        <v>8</v>
      </c>
      <c r="D19" s="76" t="s">
        <v>9</v>
      </c>
      <c r="E19" s="12">
        <v>0.26219999999999999</v>
      </c>
      <c r="F19" s="69">
        <f>ROUND(E19,4)*1.095</f>
        <v>0.287109</v>
      </c>
      <c r="G19" s="246">
        <f>'[1]VOKA_Predr. obdobje plan 2014'!$AH$72</f>
        <v>0.43588106176789876</v>
      </c>
      <c r="H19" s="69">
        <f t="shared" si="13"/>
        <v>0.47731050000000003</v>
      </c>
      <c r="I19" s="64">
        <f t="shared" si="1"/>
        <v>0.19020150000000002</v>
      </c>
      <c r="J19" s="113">
        <f t="shared" si="2"/>
        <v>1.6623991676884011</v>
      </c>
      <c r="K19" s="195">
        <f>4*$L$2</f>
        <v>15.2</v>
      </c>
      <c r="L19" s="197">
        <f>K19*F19</f>
        <v>4.3640568000000002</v>
      </c>
      <c r="M19" s="197">
        <f>K19*H19</f>
        <v>7.2551196000000004</v>
      </c>
      <c r="N19" s="197">
        <f>M19-L19</f>
        <v>2.8910628000000003</v>
      </c>
      <c r="O19" s="199"/>
      <c r="P19" s="193"/>
      <c r="Q19" s="195">
        <f>4*$L$2</f>
        <v>15.2</v>
      </c>
      <c r="R19" s="195">
        <f>4*$L$2</f>
        <v>15.2</v>
      </c>
      <c r="S19" s="197">
        <f>Q19*F19</f>
        <v>4.3640568000000002</v>
      </c>
      <c r="T19" s="197">
        <f>R19*H19</f>
        <v>7.2551196000000004</v>
      </c>
      <c r="U19" s="197">
        <f>T19-S19</f>
        <v>2.8910628000000003</v>
      </c>
      <c r="V19" s="314"/>
      <c r="X19">
        <f>N19/4</f>
        <v>0.72276570000000007</v>
      </c>
    </row>
    <row r="20" spans="1:25" ht="27.75" customHeight="1" outlineLevel="1" x14ac:dyDescent="0.3">
      <c r="A20" s="464"/>
      <c r="B20" s="519"/>
      <c r="C20" s="4" t="s">
        <v>10</v>
      </c>
      <c r="D20" s="77" t="s">
        <v>9</v>
      </c>
      <c r="E20" s="9">
        <v>6.3799999999999996E-2</v>
      </c>
      <c r="F20" s="70">
        <f>ROUND(E20,4)*1.095</f>
        <v>6.9860999999999993E-2</v>
      </c>
      <c r="G20" s="60">
        <v>6.3799999999999996E-2</v>
      </c>
      <c r="H20" s="70">
        <f t="shared" si="13"/>
        <v>6.9860999999999993E-2</v>
      </c>
      <c r="I20" s="65">
        <f t="shared" si="1"/>
        <v>0</v>
      </c>
      <c r="J20" s="114">
        <f t="shared" si="2"/>
        <v>1</v>
      </c>
      <c r="K20" s="200">
        <f>4*$L$2</f>
        <v>15.2</v>
      </c>
      <c r="L20" s="202">
        <f>K20*F20</f>
        <v>1.0618871999999999</v>
      </c>
      <c r="M20" s="202">
        <f>K20*H20</f>
        <v>1.0618871999999999</v>
      </c>
      <c r="N20" s="202">
        <f>M20-L20</f>
        <v>0</v>
      </c>
      <c r="O20" s="204"/>
      <c r="P20" s="193"/>
      <c r="Q20" s="200">
        <f>4*$L$2</f>
        <v>15.2</v>
      </c>
      <c r="R20" s="200">
        <f>4*$L$2</f>
        <v>15.2</v>
      </c>
      <c r="S20" s="202">
        <f>Q20*F20</f>
        <v>1.0618871999999999</v>
      </c>
      <c r="T20" s="202">
        <f>R20*H20</f>
        <v>1.0618871999999999</v>
      </c>
      <c r="U20" s="202">
        <f>T20-S20</f>
        <v>0</v>
      </c>
      <c r="V20" s="315"/>
    </row>
    <row r="21" spans="1:25" ht="27.75" customHeight="1" outlineLevel="1" thickBot="1" x14ac:dyDescent="0.35">
      <c r="A21" s="464"/>
      <c r="B21" s="520"/>
      <c r="C21" s="154" t="s">
        <v>60</v>
      </c>
      <c r="D21" s="139"/>
      <c r="E21" s="150"/>
      <c r="F21" s="140"/>
      <c r="G21" s="150"/>
      <c r="H21" s="140"/>
      <c r="I21" s="151"/>
      <c r="J21" s="163"/>
      <c r="K21" s="205"/>
      <c r="L21" s="207">
        <f>SUM(L17:L20)</f>
        <v>8.9600565000000003</v>
      </c>
      <c r="M21" s="207">
        <f t="shared" ref="M21:N21" si="14">SUM(M17:M20)</f>
        <v>10.566355799999998</v>
      </c>
      <c r="N21" s="207">
        <f t="shared" si="14"/>
        <v>1.6062992999999999</v>
      </c>
      <c r="O21" s="209">
        <f t="shared" ref="O21" si="15">M21/L21</f>
        <v>1.1792733449839292</v>
      </c>
      <c r="P21" s="193"/>
      <c r="Q21" s="205"/>
      <c r="R21" s="205"/>
      <c r="S21" s="207">
        <f>SUM(S17:S20)</f>
        <v>6.4393440000000002</v>
      </c>
      <c r="T21" s="207">
        <f t="shared" ref="T21:U21" si="16">SUM(T17:T20)</f>
        <v>9.6494027999999989</v>
      </c>
      <c r="U21" s="207">
        <f t="shared" si="16"/>
        <v>3.2100587999999997</v>
      </c>
      <c r="V21" s="321">
        <f t="shared" ref="V21" si="17">T21/S21</f>
        <v>1.498507115010473</v>
      </c>
    </row>
    <row r="22" spans="1:25" ht="27.75" customHeight="1" outlineLevel="1" x14ac:dyDescent="0.3">
      <c r="A22" s="464"/>
      <c r="B22" s="521" t="s">
        <v>11</v>
      </c>
      <c r="C22" s="143" t="s">
        <v>30</v>
      </c>
      <c r="D22" s="144" t="s">
        <v>7</v>
      </c>
      <c r="E22" s="145">
        <v>2.9375</v>
      </c>
      <c r="F22" s="146">
        <f>ROUND(E22,4)*1.095</f>
        <v>3.2165624999999998</v>
      </c>
      <c r="G22" s="147">
        <f>[1]VOKA_Omrežnina_predrač.2014_2!$Q$23</f>
        <v>2.5634939341421146</v>
      </c>
      <c r="H22" s="146">
        <f t="shared" ref="H22:H29" si="18">ROUND(G22,4)*1.095</f>
        <v>2.8070324999999996</v>
      </c>
      <c r="I22" s="148">
        <f t="shared" si="1"/>
        <v>-0.40953000000000017</v>
      </c>
      <c r="J22" s="149">
        <f t="shared" si="2"/>
        <v>0.87267878609093263</v>
      </c>
      <c r="K22" s="188">
        <v>1</v>
      </c>
      <c r="L22" s="190">
        <f>K22*F22</f>
        <v>3.2165624999999998</v>
      </c>
      <c r="M22" s="190">
        <f>K22*H22</f>
        <v>2.8070324999999996</v>
      </c>
      <c r="N22" s="190">
        <f>M22-L22</f>
        <v>-0.40953000000000017</v>
      </c>
      <c r="O22" s="192"/>
      <c r="P22" s="193"/>
      <c r="Q22" s="236" t="s">
        <v>73</v>
      </c>
      <c r="R22" s="188">
        <v>1</v>
      </c>
      <c r="S22" s="190">
        <v>0.92320000000000002</v>
      </c>
      <c r="T22" s="190">
        <f>R22*H22</f>
        <v>2.8070324999999996</v>
      </c>
      <c r="U22" s="190">
        <f>T22-S22</f>
        <v>1.8838324999999996</v>
      </c>
      <c r="V22" s="313"/>
    </row>
    <row r="23" spans="1:25" ht="27.75" customHeight="1" outlineLevel="1" x14ac:dyDescent="0.3">
      <c r="A23" s="464"/>
      <c r="B23" s="522"/>
      <c r="C23" s="3" t="s">
        <v>8</v>
      </c>
      <c r="D23" s="76" t="s">
        <v>9</v>
      </c>
      <c r="E23" s="12">
        <v>0.21460000000000001</v>
      </c>
      <c r="F23" s="69">
        <f>ROUND(E23,4)*1.095</f>
        <v>0.234987</v>
      </c>
      <c r="G23" s="247">
        <f>'[1]VOKA_Predr. obdobje plan 2014'!$AX$72</f>
        <v>0.29871386100925484</v>
      </c>
      <c r="H23" s="69">
        <f t="shared" si="18"/>
        <v>0.32707649999999999</v>
      </c>
      <c r="I23" s="64">
        <f t="shared" si="1"/>
        <v>9.2089499999999991E-2</v>
      </c>
      <c r="J23" s="113">
        <f t="shared" si="2"/>
        <v>1.3919564818697803</v>
      </c>
      <c r="K23" s="195">
        <f>4*$L$2</f>
        <v>15.2</v>
      </c>
      <c r="L23" s="197">
        <f>K23*F23</f>
        <v>3.5718023999999997</v>
      </c>
      <c r="M23" s="197">
        <f>K23*H23</f>
        <v>4.9715628000000001</v>
      </c>
      <c r="N23" s="197">
        <f>M23-L23</f>
        <v>1.3997604000000003</v>
      </c>
      <c r="O23" s="199"/>
      <c r="P23" s="193"/>
      <c r="Q23" s="195">
        <f>4*$L$2</f>
        <v>15.2</v>
      </c>
      <c r="R23" s="195">
        <f>4*$L$2</f>
        <v>15.2</v>
      </c>
      <c r="S23" s="197">
        <f>Q23*F23</f>
        <v>3.5718023999999997</v>
      </c>
      <c r="T23" s="197">
        <f>R23*H23</f>
        <v>4.9715628000000001</v>
      </c>
      <c r="U23" s="197">
        <f>T23-S23</f>
        <v>1.3997604000000003</v>
      </c>
      <c r="V23" s="314"/>
      <c r="X23">
        <f>N23/4</f>
        <v>0.34994010000000009</v>
      </c>
    </row>
    <row r="24" spans="1:25" ht="27.75" customHeight="1" outlineLevel="1" x14ac:dyDescent="0.3">
      <c r="A24" s="464"/>
      <c r="B24" s="522"/>
      <c r="C24" s="4" t="s">
        <v>42</v>
      </c>
      <c r="D24" s="77" t="s">
        <v>9</v>
      </c>
      <c r="E24" s="9">
        <v>0.52829999999999999</v>
      </c>
      <c r="F24" s="70">
        <f>ROUND(E24,4)*1</f>
        <v>0.52829999999999999</v>
      </c>
      <c r="G24" s="60">
        <v>0.52829999999999999</v>
      </c>
      <c r="H24" s="70">
        <f>ROUND(G24,4)*1</f>
        <v>0.52829999999999999</v>
      </c>
      <c r="I24" s="65">
        <f t="shared" si="1"/>
        <v>0</v>
      </c>
      <c r="J24" s="114">
        <f t="shared" si="2"/>
        <v>1</v>
      </c>
      <c r="K24" s="259">
        <f>4*$L$2</f>
        <v>15.2</v>
      </c>
      <c r="L24" s="214">
        <f>K24*F24</f>
        <v>8.0301599999999986</v>
      </c>
      <c r="M24" s="214">
        <f>K24*H24</f>
        <v>8.0301599999999986</v>
      </c>
      <c r="N24" s="214">
        <f>M24-L24</f>
        <v>0</v>
      </c>
      <c r="O24" s="257"/>
      <c r="P24" s="193"/>
      <c r="Q24" s="195">
        <f>4*$L$2</f>
        <v>15.2</v>
      </c>
      <c r="R24" s="195">
        <f>4*$L$2</f>
        <v>15.2</v>
      </c>
      <c r="S24" s="197">
        <f>Q24*F24</f>
        <v>8.0301599999999986</v>
      </c>
      <c r="T24" s="197">
        <f>R24*H24</f>
        <v>8.0301599999999986</v>
      </c>
      <c r="U24" s="197">
        <f>T24-S24</f>
        <v>0</v>
      </c>
      <c r="V24" s="314"/>
    </row>
    <row r="25" spans="1:25" ht="27.75" hidden="1" customHeight="1" outlineLevel="1" x14ac:dyDescent="0.3">
      <c r="A25" s="464"/>
      <c r="B25" s="535"/>
      <c r="C25" s="180" t="s">
        <v>75</v>
      </c>
      <c r="D25" s="262" t="s">
        <v>9</v>
      </c>
      <c r="E25" s="181">
        <v>48.2</v>
      </c>
      <c r="F25" s="185">
        <f>ROUND(E25,4)*1.095</f>
        <v>52.779000000000003</v>
      </c>
      <c r="G25" s="182">
        <v>49.392000000000003</v>
      </c>
      <c r="H25" s="185">
        <f t="shared" si="18"/>
        <v>54.084240000000001</v>
      </c>
      <c r="I25" s="183">
        <f t="shared" si="1"/>
        <v>1.3052399999999977</v>
      </c>
      <c r="J25" s="184">
        <f t="shared" si="2"/>
        <v>1.0247302904564315</v>
      </c>
      <c r="K25" s="210"/>
      <c r="L25" s="212"/>
      <c r="M25" s="212"/>
      <c r="N25" s="212"/>
      <c r="O25" s="300"/>
      <c r="P25" s="193"/>
      <c r="Q25" s="260"/>
      <c r="R25" s="260"/>
      <c r="S25" s="214"/>
      <c r="T25" s="214"/>
      <c r="U25" s="214"/>
      <c r="V25" s="322"/>
    </row>
    <row r="26" spans="1:25" ht="27.75" customHeight="1" outlineLevel="1" x14ac:dyDescent="0.3">
      <c r="A26" s="464"/>
      <c r="B26" s="255"/>
      <c r="C26" s="155" t="s">
        <v>92</v>
      </c>
      <c r="D26" s="141"/>
      <c r="E26" s="152"/>
      <c r="F26" s="142"/>
      <c r="G26" s="152"/>
      <c r="H26" s="142"/>
      <c r="I26" s="153"/>
      <c r="J26" s="164"/>
      <c r="K26" s="219"/>
      <c r="L26" s="221">
        <f>SUM(L22:L24)</f>
        <v>14.818524899999998</v>
      </c>
      <c r="M26" s="221">
        <f>SUM(M22:M24)</f>
        <v>15.808755299999998</v>
      </c>
      <c r="N26" s="221">
        <f>SUM(N22:N24)</f>
        <v>0.99023040000000018</v>
      </c>
      <c r="O26" s="225">
        <f>M26/L26</f>
        <v>1.0668238172613254</v>
      </c>
      <c r="P26" s="193"/>
      <c r="Q26" s="258"/>
      <c r="R26" s="258"/>
      <c r="S26" s="221">
        <f>SUM(S22:S24)</f>
        <v>12.525162399999999</v>
      </c>
      <c r="T26" s="221">
        <f>SUM(T22:T24)</f>
        <v>15.808755299999998</v>
      </c>
      <c r="U26" s="221">
        <f>SUM(U22:U24)</f>
        <v>3.2835928999999999</v>
      </c>
      <c r="V26" s="323">
        <f>T26/S26</f>
        <v>1.2621597066078758</v>
      </c>
    </row>
    <row r="27" spans="1:25" ht="27.75" customHeight="1" outlineLevel="1" x14ac:dyDescent="0.3">
      <c r="A27" s="464"/>
      <c r="B27" s="544" t="s">
        <v>96</v>
      </c>
      <c r="C27" s="263" t="s">
        <v>30</v>
      </c>
      <c r="D27" s="256" t="s">
        <v>7</v>
      </c>
      <c r="E27" s="538"/>
      <c r="F27" s="539"/>
      <c r="G27" s="264">
        <f>[1]VOKA_Omrežnina_predrač.2014_2!$R$23</f>
        <v>4.4609800000000002</v>
      </c>
      <c r="H27" s="265">
        <f t="shared" si="18"/>
        <v>4.8847950000000004</v>
      </c>
      <c r="I27" s="266">
        <f t="shared" si="1"/>
        <v>4.8847950000000004</v>
      </c>
      <c r="J27" s="267"/>
      <c r="K27" s="268">
        <v>1</v>
      </c>
      <c r="L27" s="289"/>
      <c r="M27" s="289">
        <f t="shared" ref="M27:M29" si="19">K27*H27</f>
        <v>4.8847950000000004</v>
      </c>
      <c r="N27" s="289">
        <f t="shared" ref="N27:N29" si="20">M27-L27</f>
        <v>4.8847950000000004</v>
      </c>
      <c r="O27" s="290"/>
      <c r="P27" s="193"/>
      <c r="Q27" s="194"/>
      <c r="R27" s="188"/>
      <c r="S27" s="190"/>
      <c r="T27" s="190"/>
      <c r="U27" s="190"/>
      <c r="V27" s="313"/>
    </row>
    <row r="28" spans="1:25" ht="27.75" customHeight="1" outlineLevel="1" x14ac:dyDescent="0.3">
      <c r="A28" s="464"/>
      <c r="B28" s="523"/>
      <c r="C28" s="143" t="s">
        <v>97</v>
      </c>
      <c r="D28" s="283" t="s">
        <v>7</v>
      </c>
      <c r="E28" s="540"/>
      <c r="F28" s="541"/>
      <c r="G28" s="273">
        <f>[1]VOKA_Omrežnina_predrač.2014_2!$AS$22</f>
        <v>-2.2305000000000001</v>
      </c>
      <c r="H28" s="274">
        <f t="shared" si="18"/>
        <v>-2.4423975000000002</v>
      </c>
      <c r="I28" s="275"/>
      <c r="J28" s="276"/>
      <c r="K28" s="277">
        <v>1</v>
      </c>
      <c r="L28" s="278"/>
      <c r="M28" s="278">
        <f t="shared" ref="M28" si="21">K28*H28</f>
        <v>-2.4423975000000002</v>
      </c>
      <c r="N28" s="278">
        <f t="shared" ref="N28" si="22">M28-L28</f>
        <v>-2.4423975000000002</v>
      </c>
      <c r="O28" s="279"/>
      <c r="P28" s="193"/>
      <c r="Q28" s="280"/>
      <c r="R28" s="281"/>
      <c r="S28" s="282"/>
      <c r="T28" s="282"/>
      <c r="U28" s="282"/>
      <c r="V28" s="324"/>
    </row>
    <row r="29" spans="1:25" ht="27.75" customHeight="1" outlineLevel="1" x14ac:dyDescent="0.3">
      <c r="A29" s="464"/>
      <c r="B29" s="523"/>
      <c r="C29" s="3" t="s">
        <v>8</v>
      </c>
      <c r="D29" s="76" t="s">
        <v>9</v>
      </c>
      <c r="E29" s="542"/>
      <c r="F29" s="543"/>
      <c r="G29" s="247">
        <f>'[1]VOKA_Predr. obdobje plan 2014'!$BR$72</f>
        <v>0.70669999999999999</v>
      </c>
      <c r="H29" s="69">
        <f t="shared" si="18"/>
        <v>0.77383649999999993</v>
      </c>
      <c r="I29" s="64">
        <f t="shared" si="1"/>
        <v>0.77383649999999993</v>
      </c>
      <c r="J29" s="113"/>
      <c r="K29" s="292">
        <f>4*$L$2</f>
        <v>15.2</v>
      </c>
      <c r="L29" s="293"/>
      <c r="M29" s="293">
        <f t="shared" si="19"/>
        <v>11.762314799999999</v>
      </c>
      <c r="N29" s="293">
        <f t="shared" si="20"/>
        <v>11.762314799999999</v>
      </c>
      <c r="O29" s="199"/>
      <c r="P29" s="193"/>
      <c r="Q29" s="261"/>
      <c r="R29" s="259"/>
      <c r="S29" s="269"/>
      <c r="T29" s="269"/>
      <c r="U29" s="269"/>
      <c r="V29" s="325"/>
    </row>
    <row r="30" spans="1:25" ht="27.75" customHeight="1" outlineLevel="1" x14ac:dyDescent="0.3">
      <c r="A30" s="464"/>
      <c r="B30" s="524"/>
      <c r="C30" s="301" t="s">
        <v>99</v>
      </c>
      <c r="D30" s="288" t="s">
        <v>9</v>
      </c>
      <c r="E30" s="286"/>
      <c r="F30" s="287"/>
      <c r="G30" s="294">
        <v>5.28E-2</v>
      </c>
      <c r="H30" s="295">
        <f>ROUND(G30,4)*1</f>
        <v>5.28E-2</v>
      </c>
      <c r="I30" s="296">
        <f t="shared" si="1"/>
        <v>5.28E-2</v>
      </c>
      <c r="J30" s="297"/>
      <c r="K30" s="298">
        <f>4*$L$2</f>
        <v>15.2</v>
      </c>
      <c r="L30" s="291">
        <f>L24</f>
        <v>8.0301599999999986</v>
      </c>
      <c r="M30" s="291">
        <f t="shared" ref="M30" si="23">K30*H30</f>
        <v>0.80255999999999994</v>
      </c>
      <c r="N30" s="291">
        <f>M30-L30</f>
        <v>-7.2275999999999989</v>
      </c>
      <c r="O30" s="272">
        <f>N30/L30</f>
        <v>-0.90005678591709259</v>
      </c>
      <c r="P30" s="193"/>
      <c r="Q30" s="194"/>
      <c r="R30" s="188"/>
      <c r="S30" s="190"/>
      <c r="T30" s="190"/>
      <c r="U30" s="190"/>
      <c r="V30" s="313"/>
    </row>
    <row r="31" spans="1:25" ht="27.75" customHeight="1" outlineLevel="1" x14ac:dyDescent="0.3">
      <c r="A31" s="464"/>
      <c r="B31" s="536" t="s">
        <v>91</v>
      </c>
      <c r="C31" s="537"/>
      <c r="D31" s="302"/>
      <c r="E31" s="303"/>
      <c r="F31" s="304"/>
      <c r="G31" s="305"/>
      <c r="H31" s="306"/>
      <c r="I31" s="307"/>
      <c r="J31" s="308"/>
      <c r="K31" s="309"/>
      <c r="L31" s="310"/>
      <c r="M31" s="299">
        <f>SUM(M27:M30)</f>
        <v>15.007272299999999</v>
      </c>
      <c r="N31" s="299">
        <f>SUM(N27:N30)</f>
        <v>6.9771122999999999</v>
      </c>
      <c r="O31" s="311"/>
      <c r="P31" s="193"/>
      <c r="Q31" s="210"/>
      <c r="R31" s="210"/>
      <c r="S31" s="270"/>
      <c r="T31" s="271"/>
      <c r="U31" s="271"/>
      <c r="V31" s="326"/>
    </row>
    <row r="32" spans="1:25" ht="27.75" customHeight="1" thickBot="1" x14ac:dyDescent="0.35">
      <c r="A32" s="465"/>
      <c r="B32" s="515" t="s">
        <v>93</v>
      </c>
      <c r="C32" s="516"/>
      <c r="D32" s="517"/>
      <c r="E32" s="157"/>
      <c r="F32" s="158"/>
      <c r="G32" s="159"/>
      <c r="H32" s="158"/>
      <c r="I32" s="160"/>
      <c r="J32" s="165"/>
      <c r="K32" s="226"/>
      <c r="L32" s="228">
        <f>L21+L26</f>
        <v>23.7785814</v>
      </c>
      <c r="M32" s="228">
        <f>M21+M26</f>
        <v>26.375111099999998</v>
      </c>
      <c r="N32" s="186">
        <f>N21+N26</f>
        <v>2.5965297000000001</v>
      </c>
      <c r="O32" s="230">
        <f>M32/L32</f>
        <v>1.1091961566723234</v>
      </c>
      <c r="P32" s="193"/>
      <c r="Q32" s="226"/>
      <c r="R32" s="226"/>
      <c r="S32" s="228">
        <f>S21+S26</f>
        <v>18.964506399999998</v>
      </c>
      <c r="T32" s="228">
        <f>T21+T26</f>
        <v>25.458158099999999</v>
      </c>
      <c r="U32" s="186">
        <f>U21+U26</f>
        <v>6.4936516999999991</v>
      </c>
      <c r="V32" s="319">
        <f>T32/S32</f>
        <v>1.3424107943036157</v>
      </c>
      <c r="X32" s="2">
        <f>N32/4</f>
        <v>0.64913242500000001</v>
      </c>
      <c r="Y32" s="2">
        <f>U32/4</f>
        <v>1.6234129249999998</v>
      </c>
    </row>
    <row r="33" spans="1:25" ht="27.75" customHeight="1" outlineLevel="1" x14ac:dyDescent="0.3">
      <c r="A33" s="459" t="s">
        <v>13</v>
      </c>
      <c r="B33" s="518" t="s">
        <v>6</v>
      </c>
      <c r="C33" s="132" t="s">
        <v>30</v>
      </c>
      <c r="D33" s="133" t="s">
        <v>7</v>
      </c>
      <c r="E33" s="134">
        <v>1.792</v>
      </c>
      <c r="F33" s="135">
        <f>ROUND(E33,4)*1.095</f>
        <v>1.96224</v>
      </c>
      <c r="G33" s="136">
        <f>[1]VOKA_Omrežnina_predrač.2014_2!$P$34</f>
        <v>2.063210196586736</v>
      </c>
      <c r="H33" s="135">
        <f t="shared" ref="H33:H36" si="24">ROUND(G33,4)*1.095</f>
        <v>2.259204</v>
      </c>
      <c r="I33" s="137">
        <f t="shared" si="1"/>
        <v>0.29696400000000001</v>
      </c>
      <c r="J33" s="138">
        <f t="shared" si="2"/>
        <v>1.1513449757738481</v>
      </c>
      <c r="K33" s="231">
        <v>1</v>
      </c>
      <c r="L33" s="233">
        <f>K33*F33</f>
        <v>1.96224</v>
      </c>
      <c r="M33" s="233">
        <f>K33*H33</f>
        <v>2.259204</v>
      </c>
      <c r="N33" s="233">
        <f>M33-L33</f>
        <v>0.29696400000000001</v>
      </c>
      <c r="O33" s="235"/>
      <c r="P33" s="193"/>
      <c r="Q33" s="236" t="s">
        <v>73</v>
      </c>
      <c r="R33" s="231">
        <v>1</v>
      </c>
      <c r="S33" s="233">
        <v>0.72589999999999999</v>
      </c>
      <c r="T33" s="233">
        <f>R33*H33</f>
        <v>2.259204</v>
      </c>
      <c r="U33" s="233">
        <f>T33-S33</f>
        <v>1.533304</v>
      </c>
      <c r="V33" s="320"/>
    </row>
    <row r="34" spans="1:25" ht="27.75" customHeight="1" outlineLevel="1" x14ac:dyDescent="0.3">
      <c r="A34" s="460"/>
      <c r="B34" s="519"/>
      <c r="C34" s="143" t="s">
        <v>77</v>
      </c>
      <c r="D34" s="144" t="s">
        <v>7</v>
      </c>
      <c r="E34" s="145"/>
      <c r="F34" s="146"/>
      <c r="G34" s="147">
        <f>[1]VOKA_Omrežnina_predrač.2014_2!$AD$34</f>
        <v>-0.83739505597014929</v>
      </c>
      <c r="H34" s="146">
        <f t="shared" si="24"/>
        <v>-0.91695300000000002</v>
      </c>
      <c r="I34" s="148">
        <f>H34-F34</f>
        <v>-0.91695300000000002</v>
      </c>
      <c r="J34" s="149"/>
      <c r="K34" s="239"/>
      <c r="L34" s="240"/>
      <c r="M34" s="240"/>
      <c r="N34" s="240"/>
      <c r="O34" s="241"/>
      <c r="P34" s="193"/>
      <c r="Q34" s="194"/>
      <c r="R34" s="188"/>
      <c r="S34" s="190"/>
      <c r="T34" s="190"/>
      <c r="U34" s="190"/>
      <c r="V34" s="313"/>
    </row>
    <row r="35" spans="1:25" ht="27.75" customHeight="1" outlineLevel="1" x14ac:dyDescent="0.3">
      <c r="A35" s="460"/>
      <c r="B35" s="519"/>
      <c r="C35" s="3" t="s">
        <v>8</v>
      </c>
      <c r="D35" s="76" t="s">
        <v>9</v>
      </c>
      <c r="E35" s="12">
        <v>0.27300000000000002</v>
      </c>
      <c r="F35" s="69">
        <f>ROUND(E35,4)*1.095</f>
        <v>0.29893500000000001</v>
      </c>
      <c r="G35" s="246">
        <f>'[1]VOKA_Predr. obdobje plan 2014'!$AI$72</f>
        <v>0.4328617480159232</v>
      </c>
      <c r="H35" s="69">
        <f t="shared" si="24"/>
        <v>0.47402549999999999</v>
      </c>
      <c r="I35" s="64">
        <f t="shared" si="1"/>
        <v>0.17509049999999998</v>
      </c>
      <c r="J35" s="113">
        <f t="shared" si="2"/>
        <v>1.585574168556495</v>
      </c>
      <c r="K35" s="195">
        <f>4*$L$2</f>
        <v>15.2</v>
      </c>
      <c r="L35" s="197">
        <f>K35*F35</f>
        <v>4.543812</v>
      </c>
      <c r="M35" s="197">
        <f>K35*H35</f>
        <v>7.2051875999999995</v>
      </c>
      <c r="N35" s="197">
        <f>M35-L35</f>
        <v>2.6613755999999995</v>
      </c>
      <c r="O35" s="199"/>
      <c r="P35" s="193"/>
      <c r="Q35" s="195">
        <f>4*$L$2</f>
        <v>15.2</v>
      </c>
      <c r="R35" s="195">
        <f>4*$L$2</f>
        <v>15.2</v>
      </c>
      <c r="S35" s="197">
        <f>Q35*F35</f>
        <v>4.543812</v>
      </c>
      <c r="T35" s="197">
        <f>R35*H35</f>
        <v>7.2051875999999995</v>
      </c>
      <c r="U35" s="197">
        <f>T35-S35</f>
        <v>2.6613755999999995</v>
      </c>
      <c r="V35" s="314"/>
      <c r="X35">
        <f>N35/4</f>
        <v>0.66534389999999988</v>
      </c>
    </row>
    <row r="36" spans="1:25" ht="27.75" customHeight="1" outlineLevel="1" x14ac:dyDescent="0.3">
      <c r="A36" s="460"/>
      <c r="B36" s="519"/>
      <c r="C36" s="4" t="s">
        <v>10</v>
      </c>
      <c r="D36" s="77" t="s">
        <v>9</v>
      </c>
      <c r="E36" s="9">
        <v>6.3799999999999996E-2</v>
      </c>
      <c r="F36" s="70">
        <f>ROUND(E36,4)*1.095</f>
        <v>6.9860999999999993E-2</v>
      </c>
      <c r="G36" s="60">
        <v>6.3799999999999996E-2</v>
      </c>
      <c r="H36" s="70">
        <f t="shared" si="24"/>
        <v>6.9860999999999993E-2</v>
      </c>
      <c r="I36" s="65">
        <f t="shared" si="1"/>
        <v>0</v>
      </c>
      <c r="J36" s="114">
        <f t="shared" si="2"/>
        <v>1</v>
      </c>
      <c r="K36" s="200">
        <f>4*$L$2</f>
        <v>15.2</v>
      </c>
      <c r="L36" s="202">
        <f>K36*F36</f>
        <v>1.0618871999999999</v>
      </c>
      <c r="M36" s="202">
        <f>K36*H36</f>
        <v>1.0618871999999999</v>
      </c>
      <c r="N36" s="202">
        <f>M36-L36</f>
        <v>0</v>
      </c>
      <c r="O36" s="204"/>
      <c r="P36" s="193"/>
      <c r="Q36" s="200">
        <f>4*$L$2</f>
        <v>15.2</v>
      </c>
      <c r="R36" s="200">
        <f>4*$L$2</f>
        <v>15.2</v>
      </c>
      <c r="S36" s="202">
        <f>Q36*F36</f>
        <v>1.0618871999999999</v>
      </c>
      <c r="T36" s="202">
        <f>R36*H36</f>
        <v>1.0618871999999999</v>
      </c>
      <c r="U36" s="202">
        <f>T36-S36</f>
        <v>0</v>
      </c>
      <c r="V36" s="315"/>
    </row>
    <row r="37" spans="1:25" ht="27.75" customHeight="1" outlineLevel="1" x14ac:dyDescent="0.3">
      <c r="A37" s="460"/>
      <c r="B37" s="520"/>
      <c r="C37" s="154" t="s">
        <v>60</v>
      </c>
      <c r="D37" s="139"/>
      <c r="E37" s="152"/>
      <c r="F37" s="142"/>
      <c r="G37" s="152"/>
      <c r="H37" s="142"/>
      <c r="I37" s="153"/>
      <c r="J37" s="163"/>
      <c r="K37" s="205"/>
      <c r="L37" s="207">
        <f>SUM(L33:L36)</f>
        <v>7.5679392000000005</v>
      </c>
      <c r="M37" s="207">
        <f t="shared" ref="M37:N37" si="25">SUM(M33:M36)</f>
        <v>10.526278799999998</v>
      </c>
      <c r="N37" s="207">
        <f t="shared" si="25"/>
        <v>2.9583395999999995</v>
      </c>
      <c r="O37" s="209">
        <f>M37/L37</f>
        <v>1.3909042503935547</v>
      </c>
      <c r="P37" s="193"/>
      <c r="Q37" s="205"/>
      <c r="R37" s="205"/>
      <c r="S37" s="207">
        <f>SUM(S33:S36)</f>
        <v>6.3315992000000003</v>
      </c>
      <c r="T37" s="207">
        <f t="shared" ref="T37:U37" si="26">SUM(T33:T36)</f>
        <v>10.526278799999998</v>
      </c>
      <c r="U37" s="207">
        <f t="shared" si="26"/>
        <v>4.1946795999999997</v>
      </c>
      <c r="V37" s="321">
        <f>T37/S37</f>
        <v>1.6624992308420277</v>
      </c>
    </row>
    <row r="38" spans="1:25" ht="27.75" customHeight="1" thickBot="1" x14ac:dyDescent="0.35">
      <c r="A38" s="461"/>
      <c r="B38" s="515" t="s">
        <v>62</v>
      </c>
      <c r="C38" s="516"/>
      <c r="D38" s="517"/>
      <c r="E38" s="157"/>
      <c r="F38" s="158"/>
      <c r="G38" s="159"/>
      <c r="H38" s="158"/>
      <c r="I38" s="160"/>
      <c r="J38" s="165"/>
      <c r="K38" s="226"/>
      <c r="L38" s="228">
        <f>L37</f>
        <v>7.5679392000000005</v>
      </c>
      <c r="M38" s="228">
        <f t="shared" ref="M38:N38" si="27">M37</f>
        <v>10.526278799999998</v>
      </c>
      <c r="N38" s="187">
        <f t="shared" si="27"/>
        <v>2.9583395999999995</v>
      </c>
      <c r="O38" s="230">
        <f>M38/L38</f>
        <v>1.3909042503935547</v>
      </c>
      <c r="P38" s="193"/>
      <c r="Q38" s="226"/>
      <c r="R38" s="226"/>
      <c r="S38" s="228">
        <f>S37</f>
        <v>6.3315992000000003</v>
      </c>
      <c r="T38" s="228">
        <f t="shared" ref="T38:U38" si="28">T37</f>
        <v>10.526278799999998</v>
      </c>
      <c r="U38" s="186">
        <f t="shared" si="28"/>
        <v>4.1946795999999997</v>
      </c>
      <c r="V38" s="319">
        <f>T38/S38</f>
        <v>1.6624992308420277</v>
      </c>
      <c r="X38" s="2">
        <f>N38/4</f>
        <v>0.73958489999999988</v>
      </c>
      <c r="Y38" s="2">
        <f>U38/4</f>
        <v>1.0486698999999999</v>
      </c>
    </row>
    <row r="39" spans="1:25" ht="24.75" customHeight="1" x14ac:dyDescent="0.25">
      <c r="A39" s="156" t="s">
        <v>45</v>
      </c>
      <c r="B39" s="527" t="s">
        <v>95</v>
      </c>
      <c r="C39" s="527"/>
      <c r="E39" s="527" t="s">
        <v>98</v>
      </c>
      <c r="F39" s="527"/>
      <c r="K39" s="533" t="s">
        <v>98</v>
      </c>
      <c r="L39" s="534"/>
      <c r="M39" s="534"/>
    </row>
    <row r="40" spans="1:25" hidden="1" x14ac:dyDescent="0.25"/>
    <row r="41" spans="1:25" hidden="1" x14ac:dyDescent="0.25">
      <c r="B41" s="252" t="s">
        <v>89</v>
      </c>
      <c r="C41" s="253"/>
    </row>
    <row r="42" spans="1:25" hidden="1" x14ac:dyDescent="0.25">
      <c r="B42" t="s">
        <v>86</v>
      </c>
      <c r="C42" t="s">
        <v>88</v>
      </c>
      <c r="N42" s="2">
        <f>N5+N11</f>
        <v>-1.5794280000000005</v>
      </c>
      <c r="U42" s="2">
        <f>U5+U7+U11</f>
        <v>4.7988055000000003</v>
      </c>
    </row>
    <row r="43" spans="1:25" hidden="1" x14ac:dyDescent="0.25">
      <c r="B43" t="s">
        <v>12</v>
      </c>
      <c r="C43" t="s">
        <v>88</v>
      </c>
      <c r="N43" s="2">
        <f>N17+N22</f>
        <v>-1.6942935000000006</v>
      </c>
      <c r="U43" s="2">
        <f>U17+U18+U22</f>
        <v>2.202828499999999</v>
      </c>
    </row>
    <row r="44" spans="1:25" hidden="1" x14ac:dyDescent="0.25">
      <c r="B44" t="s">
        <v>13</v>
      </c>
      <c r="C44" t="s">
        <v>88</v>
      </c>
      <c r="N44" s="2">
        <f>N33</f>
        <v>0.29696400000000001</v>
      </c>
      <c r="U44" s="2">
        <f>U33+U34</f>
        <v>1.533304</v>
      </c>
    </row>
    <row r="45" spans="1:25" hidden="1" x14ac:dyDescent="0.25">
      <c r="B45" s="73" t="s">
        <v>87</v>
      </c>
      <c r="N45" s="251">
        <f>AVERAGE(N42:N44)</f>
        <v>-0.99225250000000031</v>
      </c>
      <c r="U45" s="251">
        <f>AVERAGE(U42:U44)</f>
        <v>2.8449793333333329</v>
      </c>
    </row>
    <row r="46" spans="1:25" hidden="1" x14ac:dyDescent="0.25"/>
    <row r="47" spans="1:25" hidden="1" x14ac:dyDescent="0.25">
      <c r="B47" s="252" t="s">
        <v>90</v>
      </c>
      <c r="C47" s="252"/>
      <c r="N47" s="2"/>
    </row>
    <row r="48" spans="1:25" hidden="1" x14ac:dyDescent="0.25">
      <c r="B48" t="s">
        <v>86</v>
      </c>
      <c r="C48" t="s">
        <v>8</v>
      </c>
      <c r="N48" s="2">
        <f>(N8+N12)/4</f>
        <v>0.89503110000000008</v>
      </c>
    </row>
    <row r="49" spans="2:14" hidden="1" x14ac:dyDescent="0.25">
      <c r="B49" t="s">
        <v>12</v>
      </c>
      <c r="C49" t="s">
        <v>8</v>
      </c>
      <c r="N49" s="2">
        <f>(N19+N23)/4</f>
        <v>1.0727058</v>
      </c>
    </row>
    <row r="50" spans="2:14" hidden="1" x14ac:dyDescent="0.25">
      <c r="B50" t="s">
        <v>13</v>
      </c>
      <c r="C50" t="s">
        <v>8</v>
      </c>
      <c r="F50" s="179"/>
      <c r="H50" s="179"/>
      <c r="N50" s="2">
        <f>N35/4</f>
        <v>0.66534389999999988</v>
      </c>
    </row>
    <row r="51" spans="2:14" hidden="1" x14ac:dyDescent="0.25">
      <c r="B51" s="73" t="s">
        <v>87</v>
      </c>
      <c r="F51" s="179"/>
      <c r="H51" s="179"/>
      <c r="N51" s="251">
        <f>AVERAGE(N48:N50)</f>
        <v>0.87769360000000007</v>
      </c>
    </row>
    <row r="52" spans="2:14" hidden="1" x14ac:dyDescent="0.25">
      <c r="E52" s="2"/>
      <c r="F52" s="179"/>
      <c r="G52" s="2"/>
      <c r="H52" s="179"/>
      <c r="I52" s="2"/>
      <c r="J52" s="2"/>
      <c r="N52" s="2"/>
    </row>
    <row r="53" spans="2:14" ht="24" customHeight="1" x14ac:dyDescent="0.25">
      <c r="B53" s="531" t="s">
        <v>100</v>
      </c>
      <c r="C53" s="532"/>
      <c r="F53" s="179"/>
      <c r="H53" s="328"/>
    </row>
    <row r="54" spans="2:14" x14ac:dyDescent="0.25">
      <c r="F54" s="179"/>
      <c r="H54" s="328"/>
    </row>
    <row r="55" spans="2:14" x14ac:dyDescent="0.25">
      <c r="F55" s="179"/>
      <c r="H55" s="179"/>
      <c r="N55" s="2"/>
    </row>
    <row r="56" spans="2:14" x14ac:dyDescent="0.25">
      <c r="F56" s="179"/>
      <c r="H56" s="179"/>
    </row>
    <row r="57" spans="2:14" x14ac:dyDescent="0.25">
      <c r="F57" s="179"/>
      <c r="H57" s="179"/>
    </row>
    <row r="58" spans="2:14" x14ac:dyDescent="0.25">
      <c r="F58" s="179"/>
      <c r="H58" s="179"/>
    </row>
    <row r="59" spans="2:14" x14ac:dyDescent="0.25">
      <c r="F59" s="179"/>
      <c r="H59" s="179"/>
    </row>
    <row r="60" spans="2:14" x14ac:dyDescent="0.25">
      <c r="F60" s="179"/>
      <c r="H60" s="179"/>
    </row>
    <row r="61" spans="2:14" x14ac:dyDescent="0.25">
      <c r="F61" s="179"/>
      <c r="H61" s="179"/>
    </row>
    <row r="62" spans="2:14" x14ac:dyDescent="0.25">
      <c r="F62" s="179"/>
      <c r="H62" s="179"/>
    </row>
    <row r="63" spans="2:14" x14ac:dyDescent="0.25">
      <c r="F63" s="179"/>
      <c r="H63" s="179"/>
    </row>
    <row r="64" spans="2:14" x14ac:dyDescent="0.25">
      <c r="F64" s="179"/>
      <c r="H64" s="179"/>
    </row>
    <row r="65" spans="6:8" x14ac:dyDescent="0.25">
      <c r="F65" s="179"/>
      <c r="H65" s="179"/>
    </row>
    <row r="66" spans="6:8" x14ac:dyDescent="0.25">
      <c r="F66" s="179"/>
      <c r="H66" s="179"/>
    </row>
    <row r="67" spans="6:8" x14ac:dyDescent="0.25">
      <c r="F67" s="179"/>
      <c r="H67" s="179"/>
    </row>
    <row r="68" spans="6:8" x14ac:dyDescent="0.25">
      <c r="F68" s="179"/>
      <c r="H68" s="179"/>
    </row>
    <row r="69" spans="6:8" x14ac:dyDescent="0.25">
      <c r="F69" s="179"/>
      <c r="H69" s="179"/>
    </row>
    <row r="70" spans="6:8" x14ac:dyDescent="0.25">
      <c r="F70" s="179"/>
      <c r="H70" s="179"/>
    </row>
    <row r="71" spans="6:8" x14ac:dyDescent="0.25">
      <c r="F71" s="179"/>
      <c r="H71" s="179"/>
    </row>
    <row r="72" spans="6:8" x14ac:dyDescent="0.25">
      <c r="F72" s="179"/>
      <c r="H72" s="179"/>
    </row>
    <row r="73" spans="6:8" x14ac:dyDescent="0.25">
      <c r="F73" s="179"/>
      <c r="H73" s="179"/>
    </row>
    <row r="74" spans="6:8" x14ac:dyDescent="0.25">
      <c r="F74" s="179"/>
      <c r="H74" s="179"/>
    </row>
    <row r="75" spans="6:8" x14ac:dyDescent="0.25">
      <c r="F75" s="179"/>
      <c r="H75" s="179"/>
    </row>
    <row r="76" spans="6:8" x14ac:dyDescent="0.25">
      <c r="F76" s="179"/>
      <c r="H76" s="179"/>
    </row>
    <row r="77" spans="6:8" x14ac:dyDescent="0.25">
      <c r="F77" s="179"/>
      <c r="H77" s="179"/>
    </row>
    <row r="78" spans="6:8" x14ac:dyDescent="0.25">
      <c r="F78" s="179"/>
      <c r="H78" s="179"/>
    </row>
    <row r="79" spans="6:8" x14ac:dyDescent="0.25">
      <c r="F79" s="179"/>
      <c r="H79" s="179"/>
    </row>
    <row r="80" spans="6:8" x14ac:dyDescent="0.25">
      <c r="F80" s="179"/>
      <c r="H80" s="179"/>
    </row>
    <row r="81" spans="6:8" x14ac:dyDescent="0.25">
      <c r="F81" s="179"/>
      <c r="H81" s="179"/>
    </row>
    <row r="82" spans="6:8" x14ac:dyDescent="0.25">
      <c r="F82" s="179"/>
      <c r="H82" s="179"/>
    </row>
    <row r="83" spans="6:8" x14ac:dyDescent="0.25">
      <c r="F83" s="179"/>
      <c r="H83" s="179"/>
    </row>
    <row r="84" spans="6:8" x14ac:dyDescent="0.25">
      <c r="F84" s="179"/>
      <c r="H84" s="179"/>
    </row>
    <row r="85" spans="6:8" x14ac:dyDescent="0.25">
      <c r="F85" s="179"/>
      <c r="H85" s="179"/>
    </row>
    <row r="86" spans="6:8" x14ac:dyDescent="0.25">
      <c r="F86" s="179"/>
      <c r="H86" s="179"/>
    </row>
    <row r="87" spans="6:8" x14ac:dyDescent="0.25">
      <c r="F87" s="179"/>
      <c r="H87" s="179"/>
    </row>
    <row r="88" spans="6:8" x14ac:dyDescent="0.25">
      <c r="F88" s="179"/>
      <c r="H88" s="179"/>
    </row>
    <row r="89" spans="6:8" x14ac:dyDescent="0.25">
      <c r="F89" s="179"/>
      <c r="H89" s="179"/>
    </row>
    <row r="90" spans="6:8" x14ac:dyDescent="0.25">
      <c r="F90" s="179"/>
      <c r="H90" s="179"/>
    </row>
    <row r="91" spans="6:8" x14ac:dyDescent="0.25">
      <c r="F91" s="179"/>
      <c r="H91" s="179"/>
    </row>
    <row r="92" spans="6:8" x14ac:dyDescent="0.25">
      <c r="F92" s="179"/>
      <c r="H92" s="179"/>
    </row>
    <row r="93" spans="6:8" x14ac:dyDescent="0.25">
      <c r="F93" s="179"/>
      <c r="H93" s="179"/>
    </row>
  </sheetData>
  <mergeCells count="24">
    <mergeCell ref="A5:A16"/>
    <mergeCell ref="B5:B10"/>
    <mergeCell ref="B11:B15"/>
    <mergeCell ref="B16:D16"/>
    <mergeCell ref="A3:C3"/>
    <mergeCell ref="K3:O3"/>
    <mergeCell ref="Q3:V3"/>
    <mergeCell ref="Q4:R4"/>
    <mergeCell ref="E3:F3"/>
    <mergeCell ref="G3:H3"/>
    <mergeCell ref="B53:C53"/>
    <mergeCell ref="K39:M39"/>
    <mergeCell ref="E39:F39"/>
    <mergeCell ref="A17:A32"/>
    <mergeCell ref="B17:B21"/>
    <mergeCell ref="B32:D32"/>
    <mergeCell ref="A33:A38"/>
    <mergeCell ref="B33:B37"/>
    <mergeCell ref="B38:D38"/>
    <mergeCell ref="B22:B25"/>
    <mergeCell ref="B31:C31"/>
    <mergeCell ref="B39:C39"/>
    <mergeCell ref="E27:F29"/>
    <mergeCell ref="B27:B30"/>
  </mergeCells>
  <pageMargins left="0.23622047244094491" right="0.23622047244094491" top="0.39370078740157483" bottom="0.27559055118110237" header="0.15748031496062992" footer="0.15748031496062992"/>
  <pageSetup paperSize="9" scale="55" fitToWidth="2" orientation="landscape" r:id="rId1"/>
  <headerFooter>
    <oddHeader>&amp;L&amp;G&amp;CPrimerjava prodajnih cen VOKA&amp;RPredlog 2- dodana cena čiščenja-
  MKČN Leše, in Ravne NI subvencije, 
enotna cena poračuna števnin bloki</oddHeader>
    <oddFooter>&amp;L                                                                                                          
Ravne na Koroškem, 5.12.2013&amp;CIzdelala: Andreja Jehart&amp;RStran &amp;P/&amp;N</oddFooter>
  </headerFooter>
  <colBreaks count="1" manualBreakCount="1">
    <brk id="10" max="1048575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Y93"/>
  <sheetViews>
    <sheetView workbookViewId="0">
      <pane xSplit="6" ySplit="16" topLeftCell="H23" activePane="bottomRight" state="frozen"/>
      <selection pane="topRight" activeCell="G1" sqref="G1"/>
      <selection pane="bottomLeft" activeCell="A17" sqref="A17"/>
      <selection pane="bottomRight" activeCell="U19" sqref="U19"/>
    </sheetView>
  </sheetViews>
  <sheetFormatPr defaultRowHeight="15.75" outlineLevelRow="1" outlineLevelCol="1" x14ac:dyDescent="0.25"/>
  <cols>
    <col min="1" max="1" width="10.7109375" customWidth="1"/>
    <col min="2" max="2" width="17.5703125" customWidth="1"/>
    <col min="3" max="3" width="34" customWidth="1"/>
    <col min="4" max="4" width="10.28515625" customWidth="1"/>
    <col min="5" max="6" width="22.5703125" hidden="1" customWidth="1" outlineLevel="1"/>
    <col min="7" max="10" width="22.5703125" customWidth="1" outlineLevel="1"/>
    <col min="11" max="11" width="17.42578125" customWidth="1"/>
    <col min="12" max="13" width="14.42578125" customWidth="1"/>
    <col min="14" max="14" width="15.7109375" customWidth="1"/>
    <col min="15" max="15" width="18.7109375" customWidth="1"/>
    <col min="16" max="16" width="3.5703125" customWidth="1"/>
    <col min="17" max="17" width="12.7109375" customWidth="1"/>
    <col min="18" max="18" width="11.7109375" customWidth="1"/>
    <col min="19" max="21" width="14.42578125" customWidth="1"/>
    <col min="22" max="22" width="19" customWidth="1"/>
    <col min="24" max="25" width="0" hidden="1" customWidth="1"/>
  </cols>
  <sheetData>
    <row r="1" spans="1:25" ht="20.25" customHeight="1" x14ac:dyDescent="0.25">
      <c r="A1" s="248"/>
      <c r="B1" s="248"/>
      <c r="C1" s="248"/>
    </row>
    <row r="2" spans="1:25" ht="19.5" customHeight="1" thickBot="1" x14ac:dyDescent="0.35">
      <c r="A2" s="124" t="s">
        <v>47</v>
      </c>
      <c r="D2" s="329"/>
      <c r="I2" s="2"/>
      <c r="K2" s="250" t="s">
        <v>84</v>
      </c>
      <c r="L2" s="242">
        <v>3.8</v>
      </c>
      <c r="M2" s="249" t="s">
        <v>83</v>
      </c>
    </row>
    <row r="3" spans="1:25" s="174" customFormat="1" ht="27" customHeight="1" thickTop="1" x14ac:dyDescent="0.25">
      <c r="A3" s="545" t="s">
        <v>101</v>
      </c>
      <c r="B3" s="545"/>
      <c r="C3" s="545"/>
      <c r="E3" s="525" t="s">
        <v>49</v>
      </c>
      <c r="F3" s="526"/>
      <c r="G3" s="525" t="s">
        <v>76</v>
      </c>
      <c r="H3" s="526"/>
      <c r="I3" s="175"/>
      <c r="J3" s="176"/>
      <c r="K3" s="512" t="s">
        <v>69</v>
      </c>
      <c r="L3" s="513"/>
      <c r="M3" s="513"/>
      <c r="N3" s="513"/>
      <c r="O3" s="514"/>
      <c r="P3" s="327">
        <v>0.02</v>
      </c>
      <c r="Q3" s="512" t="s">
        <v>85</v>
      </c>
      <c r="R3" s="513"/>
      <c r="S3" s="513"/>
      <c r="T3" s="513"/>
      <c r="U3" s="513"/>
      <c r="V3" s="514"/>
    </row>
    <row r="4" spans="1:25" ht="49.5" customHeight="1" thickBot="1" x14ac:dyDescent="0.3">
      <c r="A4" s="166" t="s">
        <v>0</v>
      </c>
      <c r="B4" s="167" t="s">
        <v>1</v>
      </c>
      <c r="C4" s="167" t="s">
        <v>2</v>
      </c>
      <c r="D4" s="178" t="s">
        <v>3</v>
      </c>
      <c r="E4" s="49" t="s">
        <v>63</v>
      </c>
      <c r="F4" s="168" t="s">
        <v>64</v>
      </c>
      <c r="G4" s="49" t="s">
        <v>63</v>
      </c>
      <c r="H4" s="168" t="s">
        <v>64</v>
      </c>
      <c r="I4" s="50" t="s">
        <v>33</v>
      </c>
      <c r="J4" s="50" t="s">
        <v>50</v>
      </c>
      <c r="K4" s="245" t="s">
        <v>78</v>
      </c>
      <c r="L4" s="330" t="s">
        <v>79</v>
      </c>
      <c r="M4" s="330" t="s">
        <v>80</v>
      </c>
      <c r="N4" s="330" t="s">
        <v>81</v>
      </c>
      <c r="O4" s="331" t="s">
        <v>66</v>
      </c>
      <c r="Q4" s="530" t="s">
        <v>82</v>
      </c>
      <c r="R4" s="530"/>
      <c r="S4" s="330" t="s">
        <v>79</v>
      </c>
      <c r="T4" s="330" t="s">
        <v>80</v>
      </c>
      <c r="U4" s="330" t="s">
        <v>81</v>
      </c>
      <c r="V4" s="331" t="s">
        <v>66</v>
      </c>
    </row>
    <row r="5" spans="1:25" ht="27.75" hidden="1" customHeight="1" outlineLevel="1" x14ac:dyDescent="0.3">
      <c r="A5" s="464" t="s">
        <v>5</v>
      </c>
      <c r="B5" s="519" t="s">
        <v>6</v>
      </c>
      <c r="C5" s="143" t="s">
        <v>30</v>
      </c>
      <c r="D5" s="144" t="s">
        <v>7</v>
      </c>
      <c r="E5" s="145">
        <v>3.7061999999999999</v>
      </c>
      <c r="F5" s="146">
        <f>ROUND(E5,4)*1.095</f>
        <v>4.0582890000000003</v>
      </c>
      <c r="G5" s="147">
        <f>[2]VOKA_Omrežnina_predrač.2014_2!$P$12</f>
        <v>2.3874280765175477</v>
      </c>
      <c r="H5" s="146">
        <f>ROUND(G5,4)*1.095</f>
        <v>2.6142029999999998</v>
      </c>
      <c r="I5" s="148">
        <f>H5-F5</f>
        <v>-1.4440860000000004</v>
      </c>
      <c r="J5" s="149">
        <f>G5/E5</f>
        <v>0.64417140912998427</v>
      </c>
      <c r="K5" s="188">
        <v>1</v>
      </c>
      <c r="L5" s="190">
        <f>K5*F5</f>
        <v>4.0582890000000003</v>
      </c>
      <c r="M5" s="190">
        <f>K5*H5</f>
        <v>2.6142029999999998</v>
      </c>
      <c r="N5" s="190">
        <f>M5-L5</f>
        <v>-1.4440860000000004</v>
      </c>
      <c r="O5" s="192"/>
      <c r="P5" s="193"/>
      <c r="Q5" s="194" t="s">
        <v>73</v>
      </c>
      <c r="R5" s="188">
        <v>1</v>
      </c>
      <c r="S5" s="190">
        <v>0.83630000000000004</v>
      </c>
      <c r="T5" s="190">
        <f>R5*H5</f>
        <v>2.6142029999999998</v>
      </c>
      <c r="U5" s="190">
        <f>T5-S5</f>
        <v>1.7779029999999998</v>
      </c>
      <c r="V5" s="313"/>
    </row>
    <row r="6" spans="1:25" ht="27.75" hidden="1" customHeight="1" outlineLevel="1" x14ac:dyDescent="0.3">
      <c r="A6" s="464"/>
      <c r="B6" s="519"/>
      <c r="C6" s="143" t="s">
        <v>94</v>
      </c>
      <c r="D6" s="144" t="s">
        <v>7</v>
      </c>
      <c r="E6" s="145"/>
      <c r="F6" s="146"/>
      <c r="G6" s="147">
        <f>[2]VOKA_Omrežnina_predrač.2014_2!$AH$12</f>
        <v>-0.82101806239737274</v>
      </c>
      <c r="H6" s="146">
        <f>ROUND(G6,4)*1.095</f>
        <v>-0.89899499999999988</v>
      </c>
      <c r="I6" s="148">
        <f>H6-F6</f>
        <v>-0.89899499999999988</v>
      </c>
      <c r="J6" s="149"/>
      <c r="K6" s="188">
        <v>1</v>
      </c>
      <c r="L6" s="190"/>
      <c r="M6" s="190"/>
      <c r="N6" s="190"/>
      <c r="O6" s="192"/>
      <c r="P6" s="193"/>
      <c r="Q6" s="194"/>
      <c r="R6" s="188">
        <v>1</v>
      </c>
      <c r="S6" s="190"/>
      <c r="T6" s="190"/>
      <c r="U6" s="190"/>
      <c r="V6" s="313"/>
    </row>
    <row r="7" spans="1:25" ht="27.75" hidden="1" customHeight="1" outlineLevel="1" x14ac:dyDescent="0.3">
      <c r="A7" s="464"/>
      <c r="B7" s="519"/>
      <c r="C7" s="143" t="s">
        <v>77</v>
      </c>
      <c r="D7" s="144" t="s">
        <v>7</v>
      </c>
      <c r="E7" s="145"/>
      <c r="F7" s="146"/>
      <c r="G7" s="147">
        <f>[2]VOKA_Omrežnina_predrač.2014_2!$AD$12</f>
        <v>-0.83739505597014929</v>
      </c>
      <c r="H7" s="146">
        <f t="shared" ref="H7:H9" si="0">ROUND(G7,4)*1.095</f>
        <v>-0.91695300000000002</v>
      </c>
      <c r="I7" s="148">
        <f>H7-F7</f>
        <v>-0.91695300000000002</v>
      </c>
      <c r="J7" s="149"/>
      <c r="K7" s="239"/>
      <c r="L7" s="240"/>
      <c r="M7" s="240"/>
      <c r="N7" s="240"/>
      <c r="O7" s="241"/>
      <c r="P7" s="193"/>
      <c r="Q7" s="194"/>
      <c r="R7" s="188"/>
      <c r="S7" s="190"/>
      <c r="T7" s="190"/>
      <c r="U7" s="190"/>
      <c r="V7" s="313"/>
    </row>
    <row r="8" spans="1:25" ht="27.75" hidden="1" customHeight="1" outlineLevel="1" x14ac:dyDescent="0.3">
      <c r="A8" s="464"/>
      <c r="B8" s="519"/>
      <c r="C8" s="3" t="s">
        <v>8</v>
      </c>
      <c r="D8" s="76" t="s">
        <v>9</v>
      </c>
      <c r="E8" s="12">
        <v>0.29499999999999998</v>
      </c>
      <c r="F8" s="69">
        <f>ROUND(E8,4)*1.095</f>
        <v>0.32302499999999995</v>
      </c>
      <c r="G8" s="246">
        <f>'[2]VOKA_Predr. obdobje plan 2014'!$AG$72</f>
        <v>0.43321784092427718</v>
      </c>
      <c r="H8" s="69">
        <f t="shared" si="0"/>
        <v>0.47435399999999994</v>
      </c>
      <c r="I8" s="64">
        <f t="shared" ref="I8:I36" si="1">H8-F8</f>
        <v>0.15132899999999999</v>
      </c>
      <c r="J8" s="113">
        <f t="shared" ref="J8:J36" si="2">G8/E8</f>
        <v>1.4685350539806006</v>
      </c>
      <c r="K8" s="195">
        <f>4*$L$2</f>
        <v>15.2</v>
      </c>
      <c r="L8" s="197">
        <f>K8*F8</f>
        <v>4.9099799999999991</v>
      </c>
      <c r="M8" s="197">
        <f>K8*H8</f>
        <v>7.2101807999999989</v>
      </c>
      <c r="N8" s="197">
        <f>M8-L8</f>
        <v>2.3002007999999998</v>
      </c>
      <c r="O8" s="199"/>
      <c r="P8" s="193"/>
      <c r="Q8" s="195">
        <f>4*$L$2</f>
        <v>15.2</v>
      </c>
      <c r="R8" s="195">
        <f>4*$L$2</f>
        <v>15.2</v>
      </c>
      <c r="S8" s="197">
        <f>Q8*F8</f>
        <v>4.9099799999999991</v>
      </c>
      <c r="T8" s="197">
        <f>R8*H8</f>
        <v>7.2101807999999989</v>
      </c>
      <c r="U8" s="197">
        <f>T8-S8</f>
        <v>2.3002007999999998</v>
      </c>
      <c r="V8" s="314"/>
      <c r="X8">
        <f>N8/4</f>
        <v>0.57505019999999996</v>
      </c>
    </row>
    <row r="9" spans="1:25" ht="27.75" hidden="1" customHeight="1" outlineLevel="1" x14ac:dyDescent="0.3">
      <c r="A9" s="464"/>
      <c r="B9" s="519"/>
      <c r="C9" s="4" t="s">
        <v>10</v>
      </c>
      <c r="D9" s="77" t="s">
        <v>9</v>
      </c>
      <c r="E9" s="9">
        <v>6.3799999999999996E-2</v>
      </c>
      <c r="F9" s="70">
        <f>ROUND(E9,4)*1.095</f>
        <v>6.9860999999999993E-2</v>
      </c>
      <c r="G9" s="60">
        <v>6.3799999999999996E-2</v>
      </c>
      <c r="H9" s="70">
        <f t="shared" si="0"/>
        <v>6.9860999999999993E-2</v>
      </c>
      <c r="I9" s="65">
        <f t="shared" si="1"/>
        <v>0</v>
      </c>
      <c r="J9" s="114">
        <f t="shared" si="2"/>
        <v>1</v>
      </c>
      <c r="K9" s="200">
        <f>4*$L$2</f>
        <v>15.2</v>
      </c>
      <c r="L9" s="202">
        <f>K9*F9</f>
        <v>1.0618871999999999</v>
      </c>
      <c r="M9" s="202">
        <f>K9*H9</f>
        <v>1.0618871999999999</v>
      </c>
      <c r="N9" s="202">
        <f>M9-L9</f>
        <v>0</v>
      </c>
      <c r="O9" s="204"/>
      <c r="P9" s="193"/>
      <c r="Q9" s="200">
        <f>4*$L$2</f>
        <v>15.2</v>
      </c>
      <c r="R9" s="200">
        <f>4*$L$2</f>
        <v>15.2</v>
      </c>
      <c r="S9" s="202">
        <f>Q9*F9</f>
        <v>1.0618871999999999</v>
      </c>
      <c r="T9" s="202">
        <f>R9*H9</f>
        <v>1.0618871999999999</v>
      </c>
      <c r="U9" s="202">
        <f>T9-S9</f>
        <v>0</v>
      </c>
      <c r="V9" s="315"/>
    </row>
    <row r="10" spans="1:25" ht="27.75" hidden="1" customHeight="1" outlineLevel="1" x14ac:dyDescent="0.3">
      <c r="A10" s="464"/>
      <c r="B10" s="520"/>
      <c r="C10" s="154" t="s">
        <v>60</v>
      </c>
      <c r="D10" s="139"/>
      <c r="E10" s="150"/>
      <c r="F10" s="140"/>
      <c r="G10" s="150"/>
      <c r="H10" s="140"/>
      <c r="I10" s="151"/>
      <c r="J10" s="163"/>
      <c r="K10" s="205"/>
      <c r="L10" s="207">
        <f>SUM(L5:L9)</f>
        <v>10.030156199999999</v>
      </c>
      <c r="M10" s="207">
        <f t="shared" ref="M10:N10" si="3">SUM(M5:M9)</f>
        <v>10.886270999999999</v>
      </c>
      <c r="N10" s="207">
        <f t="shared" si="3"/>
        <v>0.8561147999999994</v>
      </c>
      <c r="O10" s="254">
        <f t="shared" ref="O10" si="4">M10/L10</f>
        <v>1.0853540845156529</v>
      </c>
      <c r="P10" s="193"/>
      <c r="Q10" s="205"/>
      <c r="R10" s="205"/>
      <c r="S10" s="207">
        <f>SUM(S5:S9)</f>
        <v>6.8081671999999989</v>
      </c>
      <c r="T10" s="207">
        <f t="shared" ref="T10:U10" si="5">SUM(T5:T9)</f>
        <v>10.886270999999999</v>
      </c>
      <c r="U10" s="207">
        <f t="shared" si="5"/>
        <v>4.0781037999999992</v>
      </c>
      <c r="V10" s="316">
        <f t="shared" ref="V10" si="6">T10/S10</f>
        <v>1.5990017107687955</v>
      </c>
    </row>
    <row r="11" spans="1:25" ht="27.75" hidden="1" customHeight="1" outlineLevel="1" x14ac:dyDescent="0.3">
      <c r="A11" s="464"/>
      <c r="B11" s="521" t="s">
        <v>11</v>
      </c>
      <c r="C11" s="143" t="s">
        <v>30</v>
      </c>
      <c r="D11" s="144" t="s">
        <v>7</v>
      </c>
      <c r="E11" s="145">
        <v>3.6331000000000002</v>
      </c>
      <c r="F11" s="146">
        <f t="shared" ref="F11:F14" si="7">ROUND(E11,4)*1.095</f>
        <v>3.9782445000000002</v>
      </c>
      <c r="G11" s="147">
        <f>[2]VOKA_Omrežnina_predrač.2014_2!$Q$12</f>
        <v>3.5094837324898331</v>
      </c>
      <c r="H11" s="146">
        <f t="shared" ref="H11:H14" si="8">ROUND(G11,4)*1.095</f>
        <v>3.8429025000000001</v>
      </c>
      <c r="I11" s="148">
        <f t="shared" si="1"/>
        <v>-0.13534200000000007</v>
      </c>
      <c r="J11" s="149">
        <f t="shared" si="2"/>
        <v>0.96597498898732015</v>
      </c>
      <c r="K11" s="188">
        <v>1</v>
      </c>
      <c r="L11" s="190">
        <f>K11*F11</f>
        <v>3.9782445000000002</v>
      </c>
      <c r="M11" s="190">
        <f>K11*H11</f>
        <v>3.8429025000000001</v>
      </c>
      <c r="N11" s="190">
        <f>M11-L11</f>
        <v>-0.13534200000000007</v>
      </c>
      <c r="O11" s="192"/>
      <c r="P11" s="193"/>
      <c r="Q11" s="194" t="s">
        <v>73</v>
      </c>
      <c r="R11" s="188">
        <v>1</v>
      </c>
      <c r="S11" s="190">
        <v>0.82199999999999995</v>
      </c>
      <c r="T11" s="190">
        <f>R11*H11</f>
        <v>3.8429025000000001</v>
      </c>
      <c r="U11" s="190">
        <f>T11-S11</f>
        <v>3.0209025</v>
      </c>
      <c r="V11" s="313"/>
    </row>
    <row r="12" spans="1:25" ht="27.75" hidden="1" customHeight="1" outlineLevel="1" x14ac:dyDescent="0.3">
      <c r="A12" s="464"/>
      <c r="B12" s="522"/>
      <c r="C12" s="3" t="s">
        <v>8</v>
      </c>
      <c r="D12" s="76" t="s">
        <v>9</v>
      </c>
      <c r="E12" s="12">
        <v>0.21279999999999999</v>
      </c>
      <c r="F12" s="69">
        <f t="shared" si="7"/>
        <v>0.23301599999999997</v>
      </c>
      <c r="G12" s="247">
        <f>'[2]VOKA_Predr. obdobje plan 2014'!$AW$72</f>
        <v>0.28974110730242286</v>
      </c>
      <c r="H12" s="69">
        <f t="shared" si="8"/>
        <v>0.31722149999999999</v>
      </c>
      <c r="I12" s="64">
        <f t="shared" si="1"/>
        <v>8.4205500000000016E-2</v>
      </c>
      <c r="J12" s="113">
        <f t="shared" si="2"/>
        <v>1.3615653538647692</v>
      </c>
      <c r="K12" s="195">
        <f>4*$L$2</f>
        <v>15.2</v>
      </c>
      <c r="L12" s="197">
        <f>K12*F12</f>
        <v>3.5418431999999993</v>
      </c>
      <c r="M12" s="197">
        <f>K12*H12</f>
        <v>4.8217667999999998</v>
      </c>
      <c r="N12" s="197">
        <f>M12-L12</f>
        <v>1.2799236000000005</v>
      </c>
      <c r="O12" s="199"/>
      <c r="P12" s="193"/>
      <c r="Q12" s="195">
        <f>4*$L$2</f>
        <v>15.2</v>
      </c>
      <c r="R12" s="195">
        <f>4*$L$2</f>
        <v>15.2</v>
      </c>
      <c r="S12" s="197">
        <f>Q12*F12</f>
        <v>3.5418431999999993</v>
      </c>
      <c r="T12" s="197">
        <f>R12*H12</f>
        <v>4.8217667999999998</v>
      </c>
      <c r="U12" s="197">
        <f>T12-S12</f>
        <v>1.2799236000000005</v>
      </c>
      <c r="V12" s="314"/>
      <c r="X12">
        <f>N12/4</f>
        <v>0.31998090000000012</v>
      </c>
    </row>
    <row r="13" spans="1:25" ht="27.75" hidden="1" customHeight="1" outlineLevel="1" x14ac:dyDescent="0.3">
      <c r="A13" s="464"/>
      <c r="B13" s="522"/>
      <c r="C13" s="3" t="s">
        <v>42</v>
      </c>
      <c r="D13" s="76" t="s">
        <v>9</v>
      </c>
      <c r="E13" s="12">
        <v>0.52829999999999999</v>
      </c>
      <c r="F13" s="69">
        <f>ROUND(E13,4)*1</f>
        <v>0.52829999999999999</v>
      </c>
      <c r="G13" s="59">
        <v>0.52829999999999999</v>
      </c>
      <c r="H13" s="69">
        <f>ROUND(G13,4)*1</f>
        <v>0.52829999999999999</v>
      </c>
      <c r="I13" s="64">
        <f t="shared" si="1"/>
        <v>0</v>
      </c>
      <c r="J13" s="113">
        <f t="shared" si="2"/>
        <v>1</v>
      </c>
      <c r="K13" s="195">
        <f>4*$L$2</f>
        <v>15.2</v>
      </c>
      <c r="L13" s="197">
        <f>K13*F13</f>
        <v>8.0301599999999986</v>
      </c>
      <c r="M13" s="197">
        <f>K13*H13</f>
        <v>8.0301599999999986</v>
      </c>
      <c r="N13" s="197">
        <f>M13-L13</f>
        <v>0</v>
      </c>
      <c r="O13" s="199"/>
      <c r="P13" s="193"/>
      <c r="Q13" s="195">
        <f>4*$L$2</f>
        <v>15.2</v>
      </c>
      <c r="R13" s="195">
        <f>4*$L$2</f>
        <v>15.2</v>
      </c>
      <c r="S13" s="197">
        <f>Q13*F13</f>
        <v>8.0301599999999986</v>
      </c>
      <c r="T13" s="197">
        <f>R13*H13</f>
        <v>8.0301599999999986</v>
      </c>
      <c r="U13" s="197">
        <f>T13-S13</f>
        <v>0</v>
      </c>
      <c r="V13" s="314"/>
    </row>
    <row r="14" spans="1:25" ht="27.75" hidden="1" customHeight="1" outlineLevel="1" x14ac:dyDescent="0.3">
      <c r="A14" s="464"/>
      <c r="B14" s="523"/>
      <c r="C14" s="180" t="s">
        <v>75</v>
      </c>
      <c r="D14" s="76" t="s">
        <v>9</v>
      </c>
      <c r="E14" s="181">
        <v>48.2</v>
      </c>
      <c r="F14" s="185">
        <f t="shared" si="7"/>
        <v>52.779000000000003</v>
      </c>
      <c r="G14" s="182">
        <v>49.392000000000003</v>
      </c>
      <c r="H14" s="185">
        <f t="shared" si="8"/>
        <v>54.084240000000001</v>
      </c>
      <c r="I14" s="183">
        <f t="shared" si="1"/>
        <v>1.3052399999999977</v>
      </c>
      <c r="J14" s="184">
        <f t="shared" si="2"/>
        <v>1.0247302904564315</v>
      </c>
      <c r="K14" s="210"/>
      <c r="L14" s="212"/>
      <c r="M14" s="212"/>
      <c r="N14" s="214"/>
      <c r="O14" s="216"/>
      <c r="P14" s="193"/>
      <c r="Q14" s="210"/>
      <c r="R14" s="210"/>
      <c r="S14" s="212"/>
      <c r="T14" s="212"/>
      <c r="U14" s="212"/>
      <c r="V14" s="317"/>
    </row>
    <row r="15" spans="1:25" ht="27.75" hidden="1" customHeight="1" outlineLevel="1" x14ac:dyDescent="0.3">
      <c r="A15" s="464"/>
      <c r="B15" s="524"/>
      <c r="C15" s="155" t="s">
        <v>61</v>
      </c>
      <c r="D15" s="141"/>
      <c r="E15" s="152"/>
      <c r="F15" s="142"/>
      <c r="G15" s="152"/>
      <c r="H15" s="142"/>
      <c r="I15" s="153"/>
      <c r="J15" s="164"/>
      <c r="K15" s="219"/>
      <c r="L15" s="223">
        <f>SUM(L11:L13)</f>
        <v>15.550247699999998</v>
      </c>
      <c r="M15" s="223">
        <f t="shared" ref="M15:N15" si="9">SUM(M11:M13)</f>
        <v>16.694829299999999</v>
      </c>
      <c r="N15" s="223">
        <f t="shared" si="9"/>
        <v>1.1445816000000004</v>
      </c>
      <c r="O15" s="312">
        <f>M15/L15</f>
        <v>1.0736053612830876</v>
      </c>
      <c r="P15" s="193"/>
      <c r="Q15" s="219"/>
      <c r="R15" s="219"/>
      <c r="S15" s="223">
        <f>SUM(S11:S13)</f>
        <v>12.394003199999997</v>
      </c>
      <c r="T15" s="223">
        <f t="shared" ref="T15:U15" si="10">SUM(T11:T13)</f>
        <v>16.694829299999999</v>
      </c>
      <c r="U15" s="223">
        <f t="shared" si="10"/>
        <v>4.3008261000000001</v>
      </c>
      <c r="V15" s="318">
        <f>T15/S15-P3</f>
        <v>1.3270086323682733</v>
      </c>
    </row>
    <row r="16" spans="1:25" ht="27.75" customHeight="1" collapsed="1" thickBot="1" x14ac:dyDescent="0.35">
      <c r="A16" s="465"/>
      <c r="B16" s="515" t="s">
        <v>62</v>
      </c>
      <c r="C16" s="516"/>
      <c r="D16" s="517"/>
      <c r="E16" s="157"/>
      <c r="F16" s="158"/>
      <c r="G16" s="159"/>
      <c r="H16" s="158"/>
      <c r="I16" s="160"/>
      <c r="J16" s="165"/>
      <c r="K16" s="226"/>
      <c r="L16" s="228">
        <f>L10+L15</f>
        <v>25.580403899999997</v>
      </c>
      <c r="M16" s="228">
        <f t="shared" ref="M16:N16" si="11">M10+M15</f>
        <v>27.581100299999996</v>
      </c>
      <c r="N16" s="186">
        <f t="shared" si="11"/>
        <v>2.0006963999999998</v>
      </c>
      <c r="O16" s="230">
        <f>M16/L16</f>
        <v>1.0782120723277555</v>
      </c>
      <c r="P16" s="193"/>
      <c r="Q16" s="226"/>
      <c r="R16" s="226"/>
      <c r="S16" s="228">
        <f>S10+S15</f>
        <v>19.202170399999996</v>
      </c>
      <c r="T16" s="228">
        <f t="shared" ref="T16:U16" si="12">T10+T15</f>
        <v>27.581100299999996</v>
      </c>
      <c r="U16" s="186">
        <f t="shared" si="12"/>
        <v>8.3789298999999993</v>
      </c>
      <c r="V16" s="319">
        <f>T16/S16-P3</f>
        <v>1.4163532728571142</v>
      </c>
      <c r="X16" s="2">
        <f>N16/4</f>
        <v>0.50017409999999995</v>
      </c>
      <c r="Y16" s="2">
        <f>U16/4</f>
        <v>2.0947324749999998</v>
      </c>
    </row>
    <row r="17" spans="1:25" ht="27.75" customHeight="1" outlineLevel="1" x14ac:dyDescent="0.3">
      <c r="A17" s="463" t="s">
        <v>12</v>
      </c>
      <c r="B17" s="518" t="s">
        <v>6</v>
      </c>
      <c r="C17" s="132" t="s">
        <v>30</v>
      </c>
      <c r="D17" s="133" t="s">
        <v>7</v>
      </c>
      <c r="E17" s="134">
        <v>3.2275</v>
      </c>
      <c r="F17" s="135">
        <f>ROUND(E17,4)*1.095</f>
        <v>3.5341125</v>
      </c>
      <c r="G17" s="136">
        <f>[2]VOKA_Omrežnina_predrač.2014_2!$P$23</f>
        <v>2.0541620450606586</v>
      </c>
      <c r="H17" s="135">
        <f t="shared" ref="H17:H20" si="13">ROUND(G17,4)*1.095</f>
        <v>2.2493489999999996</v>
      </c>
      <c r="I17" s="137">
        <f t="shared" si="1"/>
        <v>-1.2847635000000004</v>
      </c>
      <c r="J17" s="138">
        <f t="shared" si="2"/>
        <v>0.63645609451918161</v>
      </c>
      <c r="K17" s="231">
        <v>1</v>
      </c>
      <c r="L17" s="233">
        <f>K17*F17</f>
        <v>3.5341125</v>
      </c>
      <c r="M17" s="233">
        <f>K17*H17</f>
        <v>2.2493489999999996</v>
      </c>
      <c r="N17" s="233">
        <f>M17-L17</f>
        <v>-1.2847635000000004</v>
      </c>
      <c r="O17" s="235"/>
      <c r="P17" s="193"/>
      <c r="Q17" s="236" t="s">
        <v>73</v>
      </c>
      <c r="R17" s="231">
        <v>1</v>
      </c>
      <c r="S17" s="233">
        <v>1.0134000000000001</v>
      </c>
      <c r="T17" s="233">
        <f>R17*H17</f>
        <v>2.2493489999999996</v>
      </c>
      <c r="U17" s="233">
        <f>T17-S17</f>
        <v>1.2359489999999995</v>
      </c>
      <c r="V17" s="320"/>
    </row>
    <row r="18" spans="1:25" ht="27.75" customHeight="1" outlineLevel="1" x14ac:dyDescent="0.3">
      <c r="A18" s="464"/>
      <c r="B18" s="519"/>
      <c r="C18" s="143" t="s">
        <v>77</v>
      </c>
      <c r="D18" s="144" t="s">
        <v>7</v>
      </c>
      <c r="E18" s="145"/>
      <c r="F18" s="146"/>
      <c r="G18" s="147">
        <f>[2]VOKA_Omrežnina_predrač.2014_2!$AD$23</f>
        <v>-0.83739505597014929</v>
      </c>
      <c r="H18" s="146">
        <f t="shared" si="13"/>
        <v>-0.91695300000000002</v>
      </c>
      <c r="I18" s="148">
        <f>H18-F18</f>
        <v>-0.91695300000000002</v>
      </c>
      <c r="J18" s="149"/>
      <c r="K18" s="239"/>
      <c r="L18" s="240"/>
      <c r="M18" s="240"/>
      <c r="N18" s="240"/>
      <c r="O18" s="241"/>
      <c r="P18" s="193"/>
      <c r="Q18" s="194"/>
      <c r="R18" s="188">
        <v>1</v>
      </c>
      <c r="S18" s="190"/>
      <c r="T18" s="190">
        <f>R18*H18</f>
        <v>-0.91695300000000002</v>
      </c>
      <c r="U18" s="190">
        <f>T18-S18</f>
        <v>-0.91695300000000002</v>
      </c>
      <c r="V18" s="313"/>
    </row>
    <row r="19" spans="1:25" ht="27.75" customHeight="1" outlineLevel="1" x14ac:dyDescent="0.3">
      <c r="A19" s="464"/>
      <c r="B19" s="519"/>
      <c r="C19" s="3" t="s">
        <v>8</v>
      </c>
      <c r="D19" s="76" t="s">
        <v>9</v>
      </c>
      <c r="E19" s="12">
        <v>0.26219999999999999</v>
      </c>
      <c r="F19" s="69">
        <f>ROUND(E19,4)*1.095</f>
        <v>0.287109</v>
      </c>
      <c r="G19" s="246">
        <f>'[2]VOKA_Predr. obdobje plan 2014'!$AH$72</f>
        <v>0.39809973357361955</v>
      </c>
      <c r="H19" s="69">
        <f t="shared" si="13"/>
        <v>0.43591950000000002</v>
      </c>
      <c r="I19" s="64">
        <f t="shared" si="1"/>
        <v>0.14881050000000001</v>
      </c>
      <c r="J19" s="113">
        <f t="shared" si="2"/>
        <v>1.518305620036688</v>
      </c>
      <c r="K19" s="195">
        <f>4*$L$2</f>
        <v>15.2</v>
      </c>
      <c r="L19" s="197">
        <f>K19*F19</f>
        <v>4.3640568000000002</v>
      </c>
      <c r="M19" s="197">
        <f>K19*H19</f>
        <v>6.6259763999999999</v>
      </c>
      <c r="N19" s="197">
        <f>M19-L19</f>
        <v>2.2619195999999997</v>
      </c>
      <c r="O19" s="199"/>
      <c r="P19" s="193"/>
      <c r="Q19" s="195">
        <f>4*$L$2</f>
        <v>15.2</v>
      </c>
      <c r="R19" s="195">
        <f>4*$L$2</f>
        <v>15.2</v>
      </c>
      <c r="S19" s="197">
        <f>Q19*F19</f>
        <v>4.3640568000000002</v>
      </c>
      <c r="T19" s="197">
        <f>R19*H19</f>
        <v>6.6259763999999999</v>
      </c>
      <c r="U19" s="197">
        <f>T19-S19</f>
        <v>2.2619195999999997</v>
      </c>
      <c r="V19" s="314"/>
      <c r="X19">
        <f>N19/4</f>
        <v>0.56547989999999992</v>
      </c>
    </row>
    <row r="20" spans="1:25" ht="27.75" customHeight="1" outlineLevel="1" x14ac:dyDescent="0.3">
      <c r="A20" s="464"/>
      <c r="B20" s="519"/>
      <c r="C20" s="4" t="s">
        <v>10</v>
      </c>
      <c r="D20" s="77" t="s">
        <v>9</v>
      </c>
      <c r="E20" s="9">
        <v>6.3799999999999996E-2</v>
      </c>
      <c r="F20" s="70">
        <f>ROUND(E20,4)*1.095</f>
        <v>6.9860999999999993E-2</v>
      </c>
      <c r="G20" s="60">
        <v>6.3799999999999996E-2</v>
      </c>
      <c r="H20" s="70">
        <f t="shared" si="13"/>
        <v>6.9860999999999993E-2</v>
      </c>
      <c r="I20" s="65">
        <f t="shared" si="1"/>
        <v>0</v>
      </c>
      <c r="J20" s="114">
        <f t="shared" si="2"/>
        <v>1</v>
      </c>
      <c r="K20" s="200">
        <f>4*$L$2</f>
        <v>15.2</v>
      </c>
      <c r="L20" s="202">
        <f>K20*F20</f>
        <v>1.0618871999999999</v>
      </c>
      <c r="M20" s="202">
        <f>K20*H20</f>
        <v>1.0618871999999999</v>
      </c>
      <c r="N20" s="202">
        <f>M20-L20</f>
        <v>0</v>
      </c>
      <c r="O20" s="204"/>
      <c r="P20" s="193"/>
      <c r="Q20" s="200">
        <f>4*$L$2</f>
        <v>15.2</v>
      </c>
      <c r="R20" s="200">
        <f>4*$L$2</f>
        <v>15.2</v>
      </c>
      <c r="S20" s="202">
        <f>Q20*F20</f>
        <v>1.0618871999999999</v>
      </c>
      <c r="T20" s="202">
        <f>R20*H20</f>
        <v>1.0618871999999999</v>
      </c>
      <c r="U20" s="202">
        <f>T20-S20</f>
        <v>0</v>
      </c>
      <c r="V20" s="315"/>
    </row>
    <row r="21" spans="1:25" ht="27.75" customHeight="1" outlineLevel="1" thickBot="1" x14ac:dyDescent="0.35">
      <c r="A21" s="464"/>
      <c r="B21" s="520"/>
      <c r="C21" s="154" t="s">
        <v>60</v>
      </c>
      <c r="D21" s="139"/>
      <c r="E21" s="150"/>
      <c r="F21" s="140"/>
      <c r="G21" s="150"/>
      <c r="H21" s="140"/>
      <c r="I21" s="151"/>
      <c r="J21" s="163"/>
      <c r="K21" s="205"/>
      <c r="L21" s="207">
        <f>SUM(L17:L20)</f>
        <v>8.9600565000000003</v>
      </c>
      <c r="M21" s="207">
        <f t="shared" ref="M21:N21" si="14">SUM(M17:M20)</f>
        <v>9.9372125999999987</v>
      </c>
      <c r="N21" s="207">
        <f t="shared" si="14"/>
        <v>0.97715609999999931</v>
      </c>
      <c r="O21" s="209">
        <f t="shared" ref="O21" si="15">M21/L21</f>
        <v>1.1090569127549585</v>
      </c>
      <c r="P21" s="193"/>
      <c r="Q21" s="205"/>
      <c r="R21" s="205"/>
      <c r="S21" s="207">
        <f>SUM(S17:S20)</f>
        <v>6.4393440000000002</v>
      </c>
      <c r="T21" s="207">
        <f t="shared" ref="T21:U21" si="16">SUM(T17:T20)</f>
        <v>9.0202595999999993</v>
      </c>
      <c r="U21" s="207">
        <f t="shared" si="16"/>
        <v>2.5809155999999991</v>
      </c>
      <c r="V21" s="321">
        <f t="shared" ref="V21" si="17">T21/S21</f>
        <v>1.400804119177357</v>
      </c>
    </row>
    <row r="22" spans="1:25" ht="27.75" customHeight="1" outlineLevel="1" x14ac:dyDescent="0.3">
      <c r="A22" s="464"/>
      <c r="B22" s="521" t="s">
        <v>11</v>
      </c>
      <c r="C22" s="143" t="s">
        <v>30</v>
      </c>
      <c r="D22" s="144" t="s">
        <v>7</v>
      </c>
      <c r="E22" s="145">
        <v>2.9375</v>
      </c>
      <c r="F22" s="146">
        <f>ROUND(E22,4)*1.095</f>
        <v>3.2165624999999998</v>
      </c>
      <c r="G22" s="147">
        <f>[2]VOKA_Omrežnina_predrač.2014_2!$Q$23</f>
        <v>2.5634939341421146</v>
      </c>
      <c r="H22" s="146">
        <f t="shared" ref="H22:H29" si="18">ROUND(G22,4)*1.095</f>
        <v>2.8070324999999996</v>
      </c>
      <c r="I22" s="148">
        <f t="shared" si="1"/>
        <v>-0.40953000000000017</v>
      </c>
      <c r="J22" s="149">
        <f t="shared" si="2"/>
        <v>0.87267878609093263</v>
      </c>
      <c r="K22" s="188">
        <v>1</v>
      </c>
      <c r="L22" s="190">
        <f>K22*F22</f>
        <v>3.2165624999999998</v>
      </c>
      <c r="M22" s="190">
        <f>K22*H22</f>
        <v>2.8070324999999996</v>
      </c>
      <c r="N22" s="190">
        <f>M22-L22</f>
        <v>-0.40953000000000017</v>
      </c>
      <c r="O22" s="192"/>
      <c r="P22" s="193"/>
      <c r="Q22" s="236" t="s">
        <v>73</v>
      </c>
      <c r="R22" s="188">
        <v>1</v>
      </c>
      <c r="S22" s="190">
        <v>0.92320000000000002</v>
      </c>
      <c r="T22" s="190">
        <f>R22*H22</f>
        <v>2.8070324999999996</v>
      </c>
      <c r="U22" s="190">
        <f>T22-S22</f>
        <v>1.8838324999999996</v>
      </c>
      <c r="V22" s="313"/>
    </row>
    <row r="23" spans="1:25" ht="27.75" customHeight="1" outlineLevel="1" x14ac:dyDescent="0.3">
      <c r="A23" s="464"/>
      <c r="B23" s="522"/>
      <c r="C23" s="3" t="s">
        <v>8</v>
      </c>
      <c r="D23" s="76" t="s">
        <v>9</v>
      </c>
      <c r="E23" s="12">
        <v>0.21460000000000001</v>
      </c>
      <c r="F23" s="69">
        <f>ROUND(E23,4)*1.095</f>
        <v>0.234987</v>
      </c>
      <c r="G23" s="247">
        <f>'[2]VOKA_Predr. obdobje plan 2014'!$AX$72</f>
        <v>0.27280050736952882</v>
      </c>
      <c r="H23" s="69">
        <f t="shared" si="18"/>
        <v>0.29871599999999998</v>
      </c>
      <c r="I23" s="64">
        <f t="shared" si="1"/>
        <v>6.372899999999998E-2</v>
      </c>
      <c r="J23" s="113">
        <f t="shared" si="2"/>
        <v>1.2712046009763691</v>
      </c>
      <c r="K23" s="195">
        <f>4*$L$2</f>
        <v>15.2</v>
      </c>
      <c r="L23" s="197">
        <f>K23*F23</f>
        <v>3.5718023999999997</v>
      </c>
      <c r="M23" s="197">
        <f>K23*H23</f>
        <v>4.5404831999999997</v>
      </c>
      <c r="N23" s="197">
        <f>M23-L23</f>
        <v>0.96868080000000001</v>
      </c>
      <c r="O23" s="199"/>
      <c r="P23" s="193"/>
      <c r="Q23" s="195">
        <f>4*$L$2</f>
        <v>15.2</v>
      </c>
      <c r="R23" s="195">
        <f>4*$L$2</f>
        <v>15.2</v>
      </c>
      <c r="S23" s="197">
        <f>Q23*F23</f>
        <v>3.5718023999999997</v>
      </c>
      <c r="T23" s="197">
        <f>R23*H23</f>
        <v>4.5404831999999997</v>
      </c>
      <c r="U23" s="197">
        <f>T23-S23</f>
        <v>0.96868080000000001</v>
      </c>
      <c r="V23" s="314"/>
      <c r="X23">
        <f>N23/4</f>
        <v>0.2421702</v>
      </c>
    </row>
    <row r="24" spans="1:25" ht="27.75" customHeight="1" outlineLevel="1" x14ac:dyDescent="0.3">
      <c r="A24" s="464"/>
      <c r="B24" s="522"/>
      <c r="C24" s="4" t="s">
        <v>42</v>
      </c>
      <c r="D24" s="77" t="s">
        <v>9</v>
      </c>
      <c r="E24" s="9">
        <v>0.52829999999999999</v>
      </c>
      <c r="F24" s="70">
        <f>ROUND(E24,4)*1</f>
        <v>0.52829999999999999</v>
      </c>
      <c r="G24" s="60">
        <v>0.52829999999999999</v>
      </c>
      <c r="H24" s="70">
        <f>ROUND(G24,4)*1</f>
        <v>0.52829999999999999</v>
      </c>
      <c r="I24" s="65">
        <f t="shared" si="1"/>
        <v>0</v>
      </c>
      <c r="J24" s="114">
        <f t="shared" si="2"/>
        <v>1</v>
      </c>
      <c r="K24" s="259">
        <f>4*$L$2</f>
        <v>15.2</v>
      </c>
      <c r="L24" s="214">
        <f>K24*F24</f>
        <v>8.0301599999999986</v>
      </c>
      <c r="M24" s="214">
        <f>K24*H24</f>
        <v>8.0301599999999986</v>
      </c>
      <c r="N24" s="214">
        <f>M24-L24</f>
        <v>0</v>
      </c>
      <c r="O24" s="257"/>
      <c r="P24" s="193"/>
      <c r="Q24" s="195">
        <f>4*$L$2</f>
        <v>15.2</v>
      </c>
      <c r="R24" s="195">
        <f>4*$L$2</f>
        <v>15.2</v>
      </c>
      <c r="S24" s="197">
        <f>Q24*F24</f>
        <v>8.0301599999999986</v>
      </c>
      <c r="T24" s="197">
        <f>R24*H24</f>
        <v>8.0301599999999986</v>
      </c>
      <c r="U24" s="197">
        <f>T24-S24</f>
        <v>0</v>
      </c>
      <c r="V24" s="314"/>
    </row>
    <row r="25" spans="1:25" ht="27.75" customHeight="1" outlineLevel="1" x14ac:dyDescent="0.3">
      <c r="A25" s="464"/>
      <c r="B25" s="535"/>
      <c r="C25" s="180" t="s">
        <v>75</v>
      </c>
      <c r="D25" s="262" t="s">
        <v>9</v>
      </c>
      <c r="E25" s="181">
        <v>48.2</v>
      </c>
      <c r="F25" s="185">
        <f>ROUND(E25,4)*1.095</f>
        <v>52.779000000000003</v>
      </c>
      <c r="G25" s="182">
        <v>49.392000000000003</v>
      </c>
      <c r="H25" s="185">
        <f t="shared" si="18"/>
        <v>54.084240000000001</v>
      </c>
      <c r="I25" s="183">
        <f t="shared" si="1"/>
        <v>1.3052399999999977</v>
      </c>
      <c r="J25" s="184">
        <f t="shared" si="2"/>
        <v>1.0247302904564315</v>
      </c>
      <c r="K25" s="210"/>
      <c r="L25" s="212"/>
      <c r="M25" s="212"/>
      <c r="N25" s="212"/>
      <c r="O25" s="300"/>
      <c r="P25" s="193"/>
      <c r="Q25" s="260"/>
      <c r="R25" s="260"/>
      <c r="S25" s="214"/>
      <c r="T25" s="214"/>
      <c r="U25" s="214"/>
      <c r="V25" s="322"/>
    </row>
    <row r="26" spans="1:25" ht="27.75" customHeight="1" outlineLevel="1" x14ac:dyDescent="0.3">
      <c r="A26" s="464"/>
      <c r="B26" s="255"/>
      <c r="C26" s="155" t="s">
        <v>92</v>
      </c>
      <c r="D26" s="141"/>
      <c r="E26" s="152"/>
      <c r="F26" s="142"/>
      <c r="G26" s="152"/>
      <c r="H26" s="142"/>
      <c r="I26" s="153"/>
      <c r="J26" s="164"/>
      <c r="K26" s="219"/>
      <c r="L26" s="221">
        <f>SUM(L22:L24)</f>
        <v>14.818524899999998</v>
      </c>
      <c r="M26" s="221">
        <f>SUM(M22:M24)</f>
        <v>15.377675699999998</v>
      </c>
      <c r="N26" s="221">
        <f>SUM(N22:N24)</f>
        <v>0.55915079999999984</v>
      </c>
      <c r="O26" s="225">
        <f>M26/L26</f>
        <v>1.0377332294390516</v>
      </c>
      <c r="P26" s="193"/>
      <c r="Q26" s="258"/>
      <c r="R26" s="258"/>
      <c r="S26" s="221">
        <f>SUM(S22:S24)</f>
        <v>12.525162399999999</v>
      </c>
      <c r="T26" s="221">
        <f>SUM(T22:T24)</f>
        <v>15.377675699999998</v>
      </c>
      <c r="U26" s="221">
        <f>SUM(U22:U24)</f>
        <v>2.8525132999999996</v>
      </c>
      <c r="V26" s="323">
        <f>T26/S26</f>
        <v>1.2277426199280257</v>
      </c>
    </row>
    <row r="27" spans="1:25" ht="27.75" customHeight="1" outlineLevel="1" x14ac:dyDescent="0.3">
      <c r="A27" s="464"/>
      <c r="B27" s="544" t="s">
        <v>96</v>
      </c>
      <c r="C27" s="263" t="s">
        <v>30</v>
      </c>
      <c r="D27" s="256" t="s">
        <v>7</v>
      </c>
      <c r="E27" s="538"/>
      <c r="F27" s="539"/>
      <c r="G27" s="264">
        <f>[2]VOKA_Omrežnina_predrač.2014_2!$R$23</f>
        <v>4.4609800000000002</v>
      </c>
      <c r="H27" s="265">
        <f t="shared" si="18"/>
        <v>4.8847950000000004</v>
      </c>
      <c r="I27" s="266">
        <f t="shared" si="1"/>
        <v>4.8847950000000004</v>
      </c>
      <c r="J27" s="267"/>
      <c r="K27" s="268">
        <v>1</v>
      </c>
      <c r="L27" s="289"/>
      <c r="M27" s="289">
        <f t="shared" ref="M27:M30" si="19">K27*H27</f>
        <v>4.8847950000000004</v>
      </c>
      <c r="N27" s="289">
        <f t="shared" ref="N27:N29" si="20">M27-L27</f>
        <v>4.8847950000000004</v>
      </c>
      <c r="O27" s="290"/>
      <c r="P27" s="193"/>
      <c r="Q27" s="194"/>
      <c r="R27" s="188"/>
      <c r="S27" s="190"/>
      <c r="T27" s="190"/>
      <c r="U27" s="190"/>
      <c r="V27" s="313"/>
    </row>
    <row r="28" spans="1:25" ht="27.75" customHeight="1" outlineLevel="1" x14ac:dyDescent="0.3">
      <c r="A28" s="464"/>
      <c r="B28" s="523"/>
      <c r="C28" s="143" t="s">
        <v>97</v>
      </c>
      <c r="D28" s="283" t="s">
        <v>7</v>
      </c>
      <c r="E28" s="540"/>
      <c r="F28" s="541"/>
      <c r="G28" s="273">
        <f>[2]VOKA_Omrežnina_predrač.2014_2!$AS$22</f>
        <v>-2.2305000000000001</v>
      </c>
      <c r="H28" s="274">
        <f t="shared" si="18"/>
        <v>-2.4423975000000002</v>
      </c>
      <c r="I28" s="275"/>
      <c r="J28" s="276"/>
      <c r="K28" s="277">
        <v>1</v>
      </c>
      <c r="L28" s="278"/>
      <c r="M28" s="278">
        <f t="shared" si="19"/>
        <v>-2.4423975000000002</v>
      </c>
      <c r="N28" s="278">
        <f t="shared" si="20"/>
        <v>-2.4423975000000002</v>
      </c>
      <c r="O28" s="279"/>
      <c r="P28" s="193"/>
      <c r="Q28" s="280"/>
      <c r="R28" s="281"/>
      <c r="S28" s="282"/>
      <c r="T28" s="282"/>
      <c r="U28" s="282"/>
      <c r="V28" s="324"/>
    </row>
    <row r="29" spans="1:25" ht="27.75" customHeight="1" outlineLevel="1" x14ac:dyDescent="0.3">
      <c r="A29" s="464"/>
      <c r="B29" s="523"/>
      <c r="C29" s="3" t="s">
        <v>8</v>
      </c>
      <c r="D29" s="76" t="s">
        <v>9</v>
      </c>
      <c r="E29" s="542"/>
      <c r="F29" s="543"/>
      <c r="G29" s="247">
        <f>'[2]VOKA_Predr. obdobje plan 2014'!$BR$72</f>
        <v>0.70669999999999999</v>
      </c>
      <c r="H29" s="69">
        <f t="shared" si="18"/>
        <v>0.77383649999999993</v>
      </c>
      <c r="I29" s="64">
        <f t="shared" si="1"/>
        <v>0.77383649999999993</v>
      </c>
      <c r="J29" s="113"/>
      <c r="K29" s="292">
        <f>4*$L$2</f>
        <v>15.2</v>
      </c>
      <c r="L29" s="293"/>
      <c r="M29" s="293">
        <f t="shared" si="19"/>
        <v>11.762314799999999</v>
      </c>
      <c r="N29" s="293">
        <f t="shared" si="20"/>
        <v>11.762314799999999</v>
      </c>
      <c r="O29" s="199"/>
      <c r="P29" s="193"/>
      <c r="Q29" s="261"/>
      <c r="R29" s="259"/>
      <c r="S29" s="269"/>
      <c r="T29" s="269"/>
      <c r="U29" s="269"/>
      <c r="V29" s="325"/>
    </row>
    <row r="30" spans="1:25" ht="27.75" customHeight="1" outlineLevel="1" x14ac:dyDescent="0.3">
      <c r="A30" s="464"/>
      <c r="B30" s="524"/>
      <c r="C30" s="301" t="s">
        <v>99</v>
      </c>
      <c r="D30" s="288" t="s">
        <v>9</v>
      </c>
      <c r="E30" s="286"/>
      <c r="F30" s="287"/>
      <c r="G30" s="294">
        <v>5.28E-2</v>
      </c>
      <c r="H30" s="295">
        <f>ROUND(G30,4)*1</f>
        <v>5.28E-2</v>
      </c>
      <c r="I30" s="296">
        <f t="shared" si="1"/>
        <v>5.28E-2</v>
      </c>
      <c r="J30" s="297"/>
      <c r="K30" s="298">
        <f>4*$L$2</f>
        <v>15.2</v>
      </c>
      <c r="L30" s="291">
        <f>L24</f>
        <v>8.0301599999999986</v>
      </c>
      <c r="M30" s="291">
        <f t="shared" si="19"/>
        <v>0.80255999999999994</v>
      </c>
      <c r="N30" s="291">
        <f>M30-L30</f>
        <v>-7.2275999999999989</v>
      </c>
      <c r="O30" s="272">
        <f>N30/L30</f>
        <v>-0.90005678591709259</v>
      </c>
      <c r="P30" s="193"/>
      <c r="Q30" s="194"/>
      <c r="R30" s="188"/>
      <c r="S30" s="190"/>
      <c r="T30" s="190"/>
      <c r="U30" s="190"/>
      <c r="V30" s="313"/>
    </row>
    <row r="31" spans="1:25" ht="27.75" customHeight="1" outlineLevel="1" x14ac:dyDescent="0.3">
      <c r="A31" s="464"/>
      <c r="B31" s="536" t="s">
        <v>91</v>
      </c>
      <c r="C31" s="537"/>
      <c r="D31" s="302"/>
      <c r="E31" s="303"/>
      <c r="F31" s="304"/>
      <c r="G31" s="305"/>
      <c r="H31" s="306"/>
      <c r="I31" s="307"/>
      <c r="J31" s="308"/>
      <c r="K31" s="309"/>
      <c r="L31" s="310"/>
      <c r="M31" s="299">
        <f>SUM(M27:M30)</f>
        <v>15.007272299999999</v>
      </c>
      <c r="N31" s="299">
        <f>SUM(N27:N30)</f>
        <v>6.9771122999999999</v>
      </c>
      <c r="O31" s="311"/>
      <c r="P31" s="193"/>
      <c r="Q31" s="210"/>
      <c r="R31" s="210"/>
      <c r="S31" s="270"/>
      <c r="T31" s="271"/>
      <c r="U31" s="271"/>
      <c r="V31" s="326"/>
    </row>
    <row r="32" spans="1:25" ht="27.75" customHeight="1" thickBot="1" x14ac:dyDescent="0.35">
      <c r="A32" s="465"/>
      <c r="B32" s="515" t="s">
        <v>93</v>
      </c>
      <c r="C32" s="516"/>
      <c r="D32" s="517"/>
      <c r="E32" s="157"/>
      <c r="F32" s="158"/>
      <c r="G32" s="159"/>
      <c r="H32" s="158"/>
      <c r="I32" s="160"/>
      <c r="J32" s="165"/>
      <c r="K32" s="226"/>
      <c r="L32" s="228">
        <f>L21+L26</f>
        <v>23.7785814</v>
      </c>
      <c r="M32" s="228">
        <f>M21+M26</f>
        <v>25.314888299999996</v>
      </c>
      <c r="N32" s="186">
        <f>N21+N26</f>
        <v>1.5363068999999991</v>
      </c>
      <c r="O32" s="230">
        <f>M32/L32</f>
        <v>1.0646088542523398</v>
      </c>
      <c r="P32" s="193"/>
      <c r="Q32" s="226"/>
      <c r="R32" s="226"/>
      <c r="S32" s="228">
        <f>S21+S26</f>
        <v>18.964506399999998</v>
      </c>
      <c r="T32" s="228">
        <f>T21+T26</f>
        <v>24.397935299999997</v>
      </c>
      <c r="U32" s="186">
        <f>U21+U26</f>
        <v>5.4334288999999991</v>
      </c>
      <c r="V32" s="319">
        <f>T32/S32</f>
        <v>1.2865051578669087</v>
      </c>
      <c r="X32" s="2">
        <f>N32/4</f>
        <v>0.38407672499999979</v>
      </c>
      <c r="Y32" s="2">
        <f>U32/4</f>
        <v>1.3583572249999998</v>
      </c>
    </row>
    <row r="33" spans="1:25" ht="27.75" customHeight="1" outlineLevel="1" x14ac:dyDescent="0.3">
      <c r="A33" s="459" t="s">
        <v>13</v>
      </c>
      <c r="B33" s="518" t="s">
        <v>6</v>
      </c>
      <c r="C33" s="132" t="s">
        <v>30</v>
      </c>
      <c r="D33" s="133" t="s">
        <v>7</v>
      </c>
      <c r="E33" s="134">
        <v>1.792</v>
      </c>
      <c r="F33" s="135">
        <f>ROUND(E33,4)*1.095</f>
        <v>1.96224</v>
      </c>
      <c r="G33" s="136">
        <f>[2]VOKA_Omrežnina_predrač.2014_2!$P$34</f>
        <v>2.063210196586736</v>
      </c>
      <c r="H33" s="135">
        <f t="shared" ref="H33:H36" si="21">ROUND(G33,4)*1.095</f>
        <v>2.259204</v>
      </c>
      <c r="I33" s="137">
        <f t="shared" si="1"/>
        <v>0.29696400000000001</v>
      </c>
      <c r="J33" s="138">
        <f t="shared" si="2"/>
        <v>1.1513449757738481</v>
      </c>
      <c r="K33" s="231">
        <v>1</v>
      </c>
      <c r="L33" s="233">
        <f>K33*F33</f>
        <v>1.96224</v>
      </c>
      <c r="M33" s="233">
        <f>K33*H33</f>
        <v>2.259204</v>
      </c>
      <c r="N33" s="233">
        <f>M33-L33</f>
        <v>0.29696400000000001</v>
      </c>
      <c r="O33" s="235"/>
      <c r="P33" s="193"/>
      <c r="Q33" s="236" t="s">
        <v>73</v>
      </c>
      <c r="R33" s="231">
        <v>1</v>
      </c>
      <c r="S33" s="233">
        <v>0.72589999999999999</v>
      </c>
      <c r="T33" s="233">
        <f>R33*H33</f>
        <v>2.259204</v>
      </c>
      <c r="U33" s="233">
        <f>T33-S33</f>
        <v>1.533304</v>
      </c>
      <c r="V33" s="320"/>
    </row>
    <row r="34" spans="1:25" ht="27.75" customHeight="1" outlineLevel="1" x14ac:dyDescent="0.3">
      <c r="A34" s="460"/>
      <c r="B34" s="519"/>
      <c r="C34" s="143" t="s">
        <v>77</v>
      </c>
      <c r="D34" s="144" t="s">
        <v>7</v>
      </c>
      <c r="E34" s="145"/>
      <c r="F34" s="146"/>
      <c r="G34" s="147">
        <f>[2]VOKA_Omrežnina_predrač.2014_2!$AD$34</f>
        <v>-0.83739505597014929</v>
      </c>
      <c r="H34" s="146">
        <f t="shared" si="21"/>
        <v>-0.91695300000000002</v>
      </c>
      <c r="I34" s="148">
        <f>H34-F34</f>
        <v>-0.91695300000000002</v>
      </c>
      <c r="J34" s="149"/>
      <c r="K34" s="239"/>
      <c r="L34" s="240"/>
      <c r="M34" s="240"/>
      <c r="N34" s="240"/>
      <c r="O34" s="241"/>
      <c r="P34" s="193"/>
      <c r="Q34" s="194"/>
      <c r="R34" s="188"/>
      <c r="S34" s="190"/>
      <c r="T34" s="190"/>
      <c r="U34" s="190"/>
      <c r="V34" s="313"/>
    </row>
    <row r="35" spans="1:25" ht="27.75" customHeight="1" outlineLevel="1" x14ac:dyDescent="0.3">
      <c r="A35" s="460"/>
      <c r="B35" s="519"/>
      <c r="C35" s="3" t="s">
        <v>8</v>
      </c>
      <c r="D35" s="76" t="s">
        <v>9</v>
      </c>
      <c r="E35" s="12">
        <v>0.27300000000000002</v>
      </c>
      <c r="F35" s="69">
        <f>ROUND(E35,4)*1.095</f>
        <v>0.29893500000000001</v>
      </c>
      <c r="G35" s="246">
        <f>'[2]VOKA_Predr. obdobje plan 2014'!$AI$72</f>
        <v>0.4328617480159232</v>
      </c>
      <c r="H35" s="69">
        <f t="shared" si="21"/>
        <v>0.47402549999999999</v>
      </c>
      <c r="I35" s="64">
        <f t="shared" si="1"/>
        <v>0.17509049999999998</v>
      </c>
      <c r="J35" s="113">
        <f t="shared" si="2"/>
        <v>1.585574168556495</v>
      </c>
      <c r="K35" s="195">
        <f>4*$L$2</f>
        <v>15.2</v>
      </c>
      <c r="L35" s="197">
        <f>K35*F35</f>
        <v>4.543812</v>
      </c>
      <c r="M35" s="197">
        <f>K35*H35</f>
        <v>7.2051875999999995</v>
      </c>
      <c r="N35" s="197">
        <f>M35-L35</f>
        <v>2.6613755999999995</v>
      </c>
      <c r="O35" s="199"/>
      <c r="P35" s="193"/>
      <c r="Q35" s="195">
        <f>4*$L$2</f>
        <v>15.2</v>
      </c>
      <c r="R35" s="195">
        <f>4*$L$2</f>
        <v>15.2</v>
      </c>
      <c r="S35" s="197">
        <f>Q35*F35</f>
        <v>4.543812</v>
      </c>
      <c r="T35" s="197">
        <f>R35*H35</f>
        <v>7.2051875999999995</v>
      </c>
      <c r="U35" s="197">
        <f>T35-S35</f>
        <v>2.6613755999999995</v>
      </c>
      <c r="V35" s="314"/>
      <c r="X35">
        <f>N35/4</f>
        <v>0.66534389999999988</v>
      </c>
    </row>
    <row r="36" spans="1:25" ht="27.75" customHeight="1" outlineLevel="1" x14ac:dyDescent="0.3">
      <c r="A36" s="460"/>
      <c r="B36" s="519"/>
      <c r="C36" s="4" t="s">
        <v>10</v>
      </c>
      <c r="D36" s="77" t="s">
        <v>9</v>
      </c>
      <c r="E36" s="9">
        <v>6.3799999999999996E-2</v>
      </c>
      <c r="F36" s="70">
        <f>ROUND(E36,4)*1.095</f>
        <v>6.9860999999999993E-2</v>
      </c>
      <c r="G36" s="60">
        <v>6.3799999999999996E-2</v>
      </c>
      <c r="H36" s="70">
        <f t="shared" si="21"/>
        <v>6.9860999999999993E-2</v>
      </c>
      <c r="I36" s="65">
        <f t="shared" si="1"/>
        <v>0</v>
      </c>
      <c r="J36" s="114">
        <f t="shared" si="2"/>
        <v>1</v>
      </c>
      <c r="K36" s="200">
        <f>4*$L$2</f>
        <v>15.2</v>
      </c>
      <c r="L36" s="202">
        <f>K36*F36</f>
        <v>1.0618871999999999</v>
      </c>
      <c r="M36" s="202">
        <f>K36*H36</f>
        <v>1.0618871999999999</v>
      </c>
      <c r="N36" s="202">
        <f>M36-L36</f>
        <v>0</v>
      </c>
      <c r="O36" s="204"/>
      <c r="P36" s="193"/>
      <c r="Q36" s="200">
        <f>4*$L$2</f>
        <v>15.2</v>
      </c>
      <c r="R36" s="200">
        <f>4*$L$2</f>
        <v>15.2</v>
      </c>
      <c r="S36" s="202">
        <f>Q36*F36</f>
        <v>1.0618871999999999</v>
      </c>
      <c r="T36" s="202">
        <f>R36*H36</f>
        <v>1.0618871999999999</v>
      </c>
      <c r="U36" s="202">
        <f>T36-S36</f>
        <v>0</v>
      </c>
      <c r="V36" s="315"/>
    </row>
    <row r="37" spans="1:25" ht="27.75" customHeight="1" outlineLevel="1" x14ac:dyDescent="0.3">
      <c r="A37" s="460"/>
      <c r="B37" s="520"/>
      <c r="C37" s="154" t="s">
        <v>60</v>
      </c>
      <c r="D37" s="139"/>
      <c r="E37" s="152"/>
      <c r="F37" s="142"/>
      <c r="G37" s="152"/>
      <c r="H37" s="142"/>
      <c r="I37" s="153"/>
      <c r="J37" s="163"/>
      <c r="K37" s="205"/>
      <c r="L37" s="207">
        <f>SUM(L33:L36)</f>
        <v>7.5679392000000005</v>
      </c>
      <c r="M37" s="207">
        <f t="shared" ref="M37:N37" si="22">SUM(M33:M36)</f>
        <v>10.526278799999998</v>
      </c>
      <c r="N37" s="207">
        <f t="shared" si="22"/>
        <v>2.9583395999999995</v>
      </c>
      <c r="O37" s="209">
        <f>M37/L37</f>
        <v>1.3909042503935547</v>
      </c>
      <c r="P37" s="193"/>
      <c r="Q37" s="205"/>
      <c r="R37" s="205"/>
      <c r="S37" s="207">
        <f>SUM(S33:S36)</f>
        <v>6.3315992000000003</v>
      </c>
      <c r="T37" s="207">
        <f t="shared" ref="T37:U37" si="23">SUM(T33:T36)</f>
        <v>10.526278799999998</v>
      </c>
      <c r="U37" s="207">
        <f t="shared" si="23"/>
        <v>4.1946795999999997</v>
      </c>
      <c r="V37" s="321">
        <f>T37/S37</f>
        <v>1.6624992308420277</v>
      </c>
    </row>
    <row r="38" spans="1:25" ht="27.75" customHeight="1" thickBot="1" x14ac:dyDescent="0.35">
      <c r="A38" s="461"/>
      <c r="B38" s="515" t="s">
        <v>62</v>
      </c>
      <c r="C38" s="516"/>
      <c r="D38" s="517"/>
      <c r="E38" s="157"/>
      <c r="F38" s="158"/>
      <c r="G38" s="159"/>
      <c r="H38" s="158"/>
      <c r="I38" s="160"/>
      <c r="J38" s="165"/>
      <c r="K38" s="226"/>
      <c r="L38" s="228">
        <f>L37</f>
        <v>7.5679392000000005</v>
      </c>
      <c r="M38" s="228">
        <f t="shared" ref="M38:N38" si="24">M37</f>
        <v>10.526278799999998</v>
      </c>
      <c r="N38" s="187">
        <f t="shared" si="24"/>
        <v>2.9583395999999995</v>
      </c>
      <c r="O38" s="230">
        <f>M38/L38</f>
        <v>1.3909042503935547</v>
      </c>
      <c r="P38" s="193"/>
      <c r="Q38" s="226"/>
      <c r="R38" s="226"/>
      <c r="S38" s="228">
        <f>S37</f>
        <v>6.3315992000000003</v>
      </c>
      <c r="T38" s="228">
        <f t="shared" ref="T38:U38" si="25">T37</f>
        <v>10.526278799999998</v>
      </c>
      <c r="U38" s="186">
        <f t="shared" si="25"/>
        <v>4.1946795999999997</v>
      </c>
      <c r="V38" s="319">
        <f>T38/S38</f>
        <v>1.6624992308420277</v>
      </c>
      <c r="X38" s="2">
        <f>N38/4</f>
        <v>0.73958489999999988</v>
      </c>
      <c r="Y38" s="2">
        <f>U38/4</f>
        <v>1.0486698999999999</v>
      </c>
    </row>
    <row r="39" spans="1:25" ht="24.75" customHeight="1" x14ac:dyDescent="0.25">
      <c r="A39" s="156" t="s">
        <v>45</v>
      </c>
      <c r="B39" s="527" t="s">
        <v>95</v>
      </c>
      <c r="C39" s="527"/>
      <c r="E39" s="527" t="s">
        <v>98</v>
      </c>
      <c r="F39" s="527"/>
      <c r="K39" s="533" t="s">
        <v>98</v>
      </c>
      <c r="L39" s="534"/>
      <c r="M39" s="534"/>
    </row>
    <row r="40" spans="1:25" hidden="1" x14ac:dyDescent="0.25"/>
    <row r="41" spans="1:25" hidden="1" x14ac:dyDescent="0.25">
      <c r="B41" s="252" t="s">
        <v>89</v>
      </c>
      <c r="C41" s="253"/>
    </row>
    <row r="42" spans="1:25" hidden="1" x14ac:dyDescent="0.25">
      <c r="B42" t="s">
        <v>86</v>
      </c>
      <c r="C42" t="s">
        <v>88</v>
      </c>
      <c r="N42" s="2">
        <f>N5+N11</f>
        <v>-1.5794280000000005</v>
      </c>
      <c r="U42" s="2">
        <f>U5+U7+U11</f>
        <v>4.7988055000000003</v>
      </c>
    </row>
    <row r="43" spans="1:25" hidden="1" x14ac:dyDescent="0.25">
      <c r="B43" t="s">
        <v>12</v>
      </c>
      <c r="C43" t="s">
        <v>88</v>
      </c>
      <c r="N43" s="2">
        <f>N17+N22</f>
        <v>-1.6942935000000006</v>
      </c>
      <c r="U43" s="2">
        <f>U17+U18+U22</f>
        <v>2.202828499999999</v>
      </c>
    </row>
    <row r="44" spans="1:25" hidden="1" x14ac:dyDescent="0.25">
      <c r="B44" t="s">
        <v>13</v>
      </c>
      <c r="C44" t="s">
        <v>88</v>
      </c>
      <c r="N44" s="2">
        <f>N33</f>
        <v>0.29696400000000001</v>
      </c>
      <c r="U44" s="2">
        <f>U33+U34</f>
        <v>1.533304</v>
      </c>
    </row>
    <row r="45" spans="1:25" hidden="1" x14ac:dyDescent="0.25">
      <c r="B45" s="73" t="s">
        <v>87</v>
      </c>
      <c r="N45" s="251">
        <f>AVERAGE(N42:N44)</f>
        <v>-0.99225250000000031</v>
      </c>
      <c r="U45" s="251">
        <f>AVERAGE(U42:U44)</f>
        <v>2.8449793333333329</v>
      </c>
    </row>
    <row r="46" spans="1:25" hidden="1" x14ac:dyDescent="0.25"/>
    <row r="47" spans="1:25" hidden="1" x14ac:dyDescent="0.25">
      <c r="B47" s="252" t="s">
        <v>90</v>
      </c>
      <c r="C47" s="252"/>
      <c r="N47" s="2"/>
    </row>
    <row r="48" spans="1:25" hidden="1" x14ac:dyDescent="0.25">
      <c r="B48" t="s">
        <v>86</v>
      </c>
      <c r="C48" t="s">
        <v>8</v>
      </c>
      <c r="N48" s="2">
        <f>(N8+N12)/4</f>
        <v>0.89503110000000008</v>
      </c>
    </row>
    <row r="49" spans="2:14" hidden="1" x14ac:dyDescent="0.25">
      <c r="B49" t="s">
        <v>12</v>
      </c>
      <c r="C49" t="s">
        <v>8</v>
      </c>
      <c r="N49" s="2">
        <f>(N19+N23)/4</f>
        <v>0.80765009999999993</v>
      </c>
    </row>
    <row r="50" spans="2:14" hidden="1" x14ac:dyDescent="0.25">
      <c r="B50" t="s">
        <v>13</v>
      </c>
      <c r="C50" t="s">
        <v>8</v>
      </c>
      <c r="F50" s="179"/>
      <c r="H50" s="179"/>
      <c r="N50" s="2">
        <f>N35/4</f>
        <v>0.66534389999999988</v>
      </c>
    </row>
    <row r="51" spans="2:14" hidden="1" x14ac:dyDescent="0.25">
      <c r="B51" s="73" t="s">
        <v>87</v>
      </c>
      <c r="F51" s="179"/>
      <c r="H51" s="179"/>
      <c r="N51" s="251">
        <f>AVERAGE(N48:N50)</f>
        <v>0.78934169999999992</v>
      </c>
    </row>
    <row r="52" spans="2:14" hidden="1" x14ac:dyDescent="0.25">
      <c r="E52" s="2"/>
      <c r="F52" s="179"/>
      <c r="G52" s="2"/>
      <c r="H52" s="179"/>
      <c r="I52" s="2"/>
      <c r="J52" s="2"/>
      <c r="N52" s="2"/>
    </row>
    <row r="53" spans="2:14" ht="24" customHeight="1" x14ac:dyDescent="0.25">
      <c r="B53" s="531" t="s">
        <v>100</v>
      </c>
      <c r="C53" s="532"/>
      <c r="F53" s="179"/>
      <c r="H53" s="328"/>
    </row>
    <row r="54" spans="2:14" x14ac:dyDescent="0.25">
      <c r="F54" s="179"/>
      <c r="H54" s="328"/>
    </row>
    <row r="55" spans="2:14" x14ac:dyDescent="0.25">
      <c r="F55" s="179"/>
      <c r="H55" s="179"/>
      <c r="N55" s="2"/>
    </row>
    <row r="56" spans="2:14" x14ac:dyDescent="0.25">
      <c r="F56" s="179"/>
      <c r="H56" s="179"/>
    </row>
    <row r="57" spans="2:14" x14ac:dyDescent="0.25">
      <c r="F57" s="179"/>
      <c r="H57" s="179"/>
    </row>
    <row r="58" spans="2:14" x14ac:dyDescent="0.25">
      <c r="F58" s="179"/>
      <c r="H58" s="179"/>
    </row>
    <row r="59" spans="2:14" x14ac:dyDescent="0.25">
      <c r="F59" s="179"/>
      <c r="H59" s="179"/>
    </row>
    <row r="60" spans="2:14" x14ac:dyDescent="0.25">
      <c r="F60" s="179"/>
      <c r="H60" s="179"/>
    </row>
    <row r="61" spans="2:14" x14ac:dyDescent="0.25">
      <c r="F61" s="179"/>
      <c r="H61" s="179"/>
    </row>
    <row r="62" spans="2:14" x14ac:dyDescent="0.25">
      <c r="F62" s="179"/>
      <c r="H62" s="179"/>
    </row>
    <row r="63" spans="2:14" x14ac:dyDescent="0.25">
      <c r="F63" s="179"/>
      <c r="H63" s="179"/>
    </row>
    <row r="64" spans="2:14" x14ac:dyDescent="0.25">
      <c r="F64" s="179"/>
      <c r="H64" s="179"/>
    </row>
    <row r="65" spans="6:8" x14ac:dyDescent="0.25">
      <c r="F65" s="179"/>
      <c r="H65" s="179"/>
    </row>
    <row r="66" spans="6:8" x14ac:dyDescent="0.25">
      <c r="F66" s="179"/>
      <c r="H66" s="179"/>
    </row>
    <row r="67" spans="6:8" x14ac:dyDescent="0.25">
      <c r="F67" s="179"/>
      <c r="H67" s="179"/>
    </row>
    <row r="68" spans="6:8" x14ac:dyDescent="0.25">
      <c r="F68" s="179"/>
      <c r="H68" s="179"/>
    </row>
    <row r="69" spans="6:8" x14ac:dyDescent="0.25">
      <c r="F69" s="179"/>
      <c r="H69" s="179"/>
    </row>
    <row r="70" spans="6:8" x14ac:dyDescent="0.25">
      <c r="F70" s="179"/>
      <c r="H70" s="179"/>
    </row>
    <row r="71" spans="6:8" x14ac:dyDescent="0.25">
      <c r="F71" s="179"/>
      <c r="H71" s="179"/>
    </row>
    <row r="72" spans="6:8" x14ac:dyDescent="0.25">
      <c r="F72" s="179"/>
      <c r="H72" s="179"/>
    </row>
    <row r="73" spans="6:8" x14ac:dyDescent="0.25">
      <c r="F73" s="179"/>
      <c r="H73" s="179"/>
    </row>
    <row r="74" spans="6:8" x14ac:dyDescent="0.25">
      <c r="F74" s="179"/>
      <c r="H74" s="179"/>
    </row>
    <row r="75" spans="6:8" x14ac:dyDescent="0.25">
      <c r="F75" s="179"/>
      <c r="H75" s="179"/>
    </row>
    <row r="76" spans="6:8" x14ac:dyDescent="0.25">
      <c r="F76" s="179"/>
      <c r="H76" s="179"/>
    </row>
    <row r="77" spans="6:8" x14ac:dyDescent="0.25">
      <c r="F77" s="179"/>
      <c r="H77" s="179"/>
    </row>
    <row r="78" spans="6:8" x14ac:dyDescent="0.25">
      <c r="F78" s="179"/>
      <c r="H78" s="179"/>
    </row>
    <row r="79" spans="6:8" x14ac:dyDescent="0.25">
      <c r="F79" s="179"/>
      <c r="H79" s="179"/>
    </row>
    <row r="80" spans="6:8" x14ac:dyDescent="0.25">
      <c r="F80" s="179"/>
      <c r="H80" s="179"/>
    </row>
    <row r="81" spans="6:8" x14ac:dyDescent="0.25">
      <c r="F81" s="179"/>
      <c r="H81" s="179"/>
    </row>
    <row r="82" spans="6:8" x14ac:dyDescent="0.25">
      <c r="F82" s="179"/>
      <c r="H82" s="179"/>
    </row>
    <row r="83" spans="6:8" x14ac:dyDescent="0.25">
      <c r="F83" s="179"/>
      <c r="H83" s="179"/>
    </row>
    <row r="84" spans="6:8" x14ac:dyDescent="0.25">
      <c r="F84" s="179"/>
      <c r="H84" s="179"/>
    </row>
    <row r="85" spans="6:8" x14ac:dyDescent="0.25">
      <c r="F85" s="179"/>
      <c r="H85" s="179"/>
    </row>
    <row r="86" spans="6:8" x14ac:dyDescent="0.25">
      <c r="F86" s="179"/>
      <c r="H86" s="179"/>
    </row>
    <row r="87" spans="6:8" x14ac:dyDescent="0.25">
      <c r="F87" s="179"/>
      <c r="H87" s="179"/>
    </row>
    <row r="88" spans="6:8" x14ac:dyDescent="0.25">
      <c r="F88" s="179"/>
      <c r="H88" s="179"/>
    </row>
    <row r="89" spans="6:8" x14ac:dyDescent="0.25">
      <c r="F89" s="179"/>
      <c r="H89" s="179"/>
    </row>
    <row r="90" spans="6:8" x14ac:dyDescent="0.25">
      <c r="F90" s="179"/>
      <c r="H90" s="179"/>
    </row>
    <row r="91" spans="6:8" x14ac:dyDescent="0.25">
      <c r="F91" s="179"/>
      <c r="H91" s="179"/>
    </row>
    <row r="92" spans="6:8" x14ac:dyDescent="0.25">
      <c r="F92" s="179"/>
      <c r="H92" s="179"/>
    </row>
    <row r="93" spans="6:8" x14ac:dyDescent="0.25">
      <c r="F93" s="179"/>
      <c r="H93" s="179"/>
    </row>
  </sheetData>
  <autoFilter ref="A4:Y39">
    <filterColumn colId="16" showButton="0"/>
  </autoFilter>
  <mergeCells count="24">
    <mergeCell ref="Q4:R4"/>
    <mergeCell ref="A3:C3"/>
    <mergeCell ref="E3:F3"/>
    <mergeCell ref="G3:H3"/>
    <mergeCell ref="K3:O3"/>
    <mergeCell ref="Q3:V3"/>
    <mergeCell ref="A33:A38"/>
    <mergeCell ref="B33:B37"/>
    <mergeCell ref="B38:D38"/>
    <mergeCell ref="A5:A16"/>
    <mergeCell ref="B5:B10"/>
    <mergeCell ref="B11:B15"/>
    <mergeCell ref="B16:D16"/>
    <mergeCell ref="A17:A32"/>
    <mergeCell ref="B17:B21"/>
    <mergeCell ref="B22:B25"/>
    <mergeCell ref="B27:B30"/>
    <mergeCell ref="B39:C39"/>
    <mergeCell ref="E39:F39"/>
    <mergeCell ref="K39:M39"/>
    <mergeCell ref="B53:C53"/>
    <mergeCell ref="E27:F29"/>
    <mergeCell ref="B31:C31"/>
    <mergeCell ref="B32:D32"/>
  </mergeCells>
  <pageMargins left="0.23622047244094491" right="0.23622047244094491" top="0.39370078740157483" bottom="0.27559055118110237" header="0.15748031496062992" footer="0.15748031496062992"/>
  <pageSetup paperSize="9" scale="55" fitToWidth="2" orientation="landscape" r:id="rId1"/>
  <headerFooter>
    <oddHeader>&amp;L&amp;G&amp;CPrimerjava prodajnih cen VOKA&amp;RPredlog 2- dodana cena čiščenja-
  MKČN Leše, 
enotna cena poračuna števnin bloki, 
&amp;"Arial Narrow,Krepko"&amp;KFF0000znižano Prevalje</oddHeader>
    <oddFooter>&amp;L                                                                                                          
Ravne na Koroškem, 19.12.2013&amp;CIzdelala: Andreja Jehart&amp;RStran &amp;P/&amp;N</oddFooter>
  </headerFooter>
  <colBreaks count="1" manualBreakCount="1">
    <brk id="10" max="1048575" man="1"/>
  </col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Y93"/>
  <sheetViews>
    <sheetView tabSelected="1" workbookViewId="0">
      <selection activeCell="V11" sqref="V11"/>
    </sheetView>
  </sheetViews>
  <sheetFormatPr defaultRowHeight="15.75" outlineLevelRow="1" outlineLevelCol="1" x14ac:dyDescent="0.25"/>
  <cols>
    <col min="1" max="1" width="10.7109375" customWidth="1"/>
    <col min="2" max="2" width="17.5703125" customWidth="1"/>
    <col min="3" max="3" width="34" customWidth="1"/>
    <col min="4" max="4" width="10.28515625" customWidth="1"/>
    <col min="5" max="10" width="22.5703125" customWidth="1" outlineLevel="1"/>
    <col min="11" max="11" width="17.42578125" customWidth="1"/>
    <col min="12" max="13" width="14.42578125" customWidth="1"/>
    <col min="14" max="14" width="15.7109375" customWidth="1"/>
    <col min="15" max="15" width="18.7109375" customWidth="1"/>
    <col min="16" max="16" width="3.5703125" customWidth="1"/>
    <col min="17" max="17" width="12.7109375" customWidth="1"/>
    <col min="18" max="18" width="11.7109375" customWidth="1"/>
    <col min="19" max="21" width="14.42578125" customWidth="1"/>
    <col min="22" max="22" width="19" customWidth="1"/>
    <col min="24" max="25" width="0" hidden="1" customWidth="1"/>
  </cols>
  <sheetData>
    <row r="1" spans="1:25" ht="20.25" customHeight="1" x14ac:dyDescent="0.25">
      <c r="A1" s="248"/>
      <c r="B1" s="248"/>
      <c r="C1" s="248"/>
    </row>
    <row r="2" spans="1:25" ht="19.5" customHeight="1" thickBot="1" x14ac:dyDescent="0.35">
      <c r="A2" s="124" t="s">
        <v>47</v>
      </c>
      <c r="D2" s="412"/>
      <c r="I2" s="2"/>
      <c r="K2" s="250" t="s">
        <v>84</v>
      </c>
      <c r="L2" s="242">
        <v>3.8</v>
      </c>
      <c r="M2" s="249" t="s">
        <v>83</v>
      </c>
    </row>
    <row r="3" spans="1:25" s="174" customFormat="1" ht="27" customHeight="1" thickTop="1" x14ac:dyDescent="0.25">
      <c r="A3" s="545" t="s">
        <v>101</v>
      </c>
      <c r="B3" s="545"/>
      <c r="C3" s="545"/>
      <c r="E3" s="525" t="s">
        <v>49</v>
      </c>
      <c r="F3" s="526"/>
      <c r="G3" s="525" t="s">
        <v>76</v>
      </c>
      <c r="H3" s="526"/>
      <c r="I3" s="175"/>
      <c r="J3" s="176"/>
      <c r="K3" s="512" t="s">
        <v>69</v>
      </c>
      <c r="L3" s="513"/>
      <c r="M3" s="513"/>
      <c r="N3" s="513"/>
      <c r="O3" s="514"/>
      <c r="P3" s="327"/>
      <c r="Q3" s="512" t="s">
        <v>85</v>
      </c>
      <c r="R3" s="513"/>
      <c r="S3" s="513"/>
      <c r="T3" s="513"/>
      <c r="U3" s="513"/>
      <c r="V3" s="514"/>
    </row>
    <row r="4" spans="1:25" ht="49.5" customHeight="1" thickBot="1" x14ac:dyDescent="0.3">
      <c r="A4" s="166" t="s">
        <v>0</v>
      </c>
      <c r="B4" s="167" t="s">
        <v>1</v>
      </c>
      <c r="C4" s="167" t="s">
        <v>2</v>
      </c>
      <c r="D4" s="178" t="s">
        <v>3</v>
      </c>
      <c r="E4" s="49" t="s">
        <v>63</v>
      </c>
      <c r="F4" s="168" t="s">
        <v>64</v>
      </c>
      <c r="G4" s="49" t="s">
        <v>63</v>
      </c>
      <c r="H4" s="168" t="s">
        <v>64</v>
      </c>
      <c r="I4" s="50" t="s">
        <v>33</v>
      </c>
      <c r="J4" s="50" t="s">
        <v>50</v>
      </c>
      <c r="K4" s="245" t="s">
        <v>78</v>
      </c>
      <c r="L4" s="413" t="s">
        <v>79</v>
      </c>
      <c r="M4" s="413" t="s">
        <v>80</v>
      </c>
      <c r="N4" s="413" t="s">
        <v>81</v>
      </c>
      <c r="O4" s="414" t="s">
        <v>66</v>
      </c>
      <c r="Q4" s="530" t="s">
        <v>82</v>
      </c>
      <c r="R4" s="530"/>
      <c r="S4" s="413" t="s">
        <v>79</v>
      </c>
      <c r="T4" s="413" t="s">
        <v>80</v>
      </c>
      <c r="U4" s="413" t="s">
        <v>81</v>
      </c>
      <c r="V4" s="414" t="s">
        <v>66</v>
      </c>
    </row>
    <row r="5" spans="1:25" ht="27.75" customHeight="1" outlineLevel="1" x14ac:dyDescent="0.3">
      <c r="A5" s="464" t="s">
        <v>5</v>
      </c>
      <c r="B5" s="519" t="s">
        <v>6</v>
      </c>
      <c r="C5" s="143" t="s">
        <v>30</v>
      </c>
      <c r="D5" s="144" t="s">
        <v>7</v>
      </c>
      <c r="E5" s="145">
        <v>3.7061999999999999</v>
      </c>
      <c r="F5" s="146">
        <f>ROUND(E5,4)*1.095</f>
        <v>4.0582890000000003</v>
      </c>
      <c r="G5" s="147">
        <f>[3]VOKA_Omrežnina_predrač.2014_2!$P$12</f>
        <v>2.3874280765175477</v>
      </c>
      <c r="H5" s="146">
        <f>ROUND(G5,4)*1.095</f>
        <v>2.6142029999999998</v>
      </c>
      <c r="I5" s="148">
        <f>H5-F5</f>
        <v>-1.4440860000000004</v>
      </c>
      <c r="J5" s="149">
        <f>G5/E5</f>
        <v>0.64417140912998427</v>
      </c>
      <c r="K5" s="188">
        <v>1</v>
      </c>
      <c r="L5" s="190">
        <f>K5*F5</f>
        <v>4.0582890000000003</v>
      </c>
      <c r="M5" s="190">
        <f>K5*H5</f>
        <v>2.6142029999999998</v>
      </c>
      <c r="N5" s="190">
        <f>M5-L5</f>
        <v>-1.4440860000000004</v>
      </c>
      <c r="O5" s="192"/>
      <c r="P5" s="193"/>
      <c r="Q5" s="194" t="s">
        <v>73</v>
      </c>
      <c r="R5" s="188">
        <v>1</v>
      </c>
      <c r="S5" s="190">
        <v>0.83630000000000004</v>
      </c>
      <c r="T5" s="190">
        <f>R5*H5</f>
        <v>2.6142029999999998</v>
      </c>
      <c r="U5" s="190">
        <f>T5-S5</f>
        <v>1.7779029999999998</v>
      </c>
      <c r="V5" s="313"/>
    </row>
    <row r="6" spans="1:25" ht="27.75" hidden="1" customHeight="1" outlineLevel="1" x14ac:dyDescent="0.3">
      <c r="A6" s="464"/>
      <c r="B6" s="519"/>
      <c r="C6" s="143" t="s">
        <v>94</v>
      </c>
      <c r="D6" s="144" t="s">
        <v>7</v>
      </c>
      <c r="E6" s="145"/>
      <c r="F6" s="146"/>
      <c r="G6" s="147">
        <f>[3]VOKA_Omrežnina_predrač.2014_2!$AH$12</f>
        <v>-0.82101806239737274</v>
      </c>
      <c r="H6" s="146">
        <f>ROUND(G6,4)*1.095</f>
        <v>-0.89899499999999988</v>
      </c>
      <c r="I6" s="148">
        <f>H6-F6</f>
        <v>-0.89899499999999988</v>
      </c>
      <c r="J6" s="149"/>
      <c r="K6" s="188">
        <v>1</v>
      </c>
      <c r="L6" s="190"/>
      <c r="M6" s="190"/>
      <c r="N6" s="190"/>
      <c r="O6" s="192"/>
      <c r="P6" s="193"/>
      <c r="Q6" s="194"/>
      <c r="R6" s="188">
        <v>1</v>
      </c>
      <c r="S6" s="190"/>
      <c r="T6" s="190"/>
      <c r="U6" s="190"/>
      <c r="V6" s="313"/>
    </row>
    <row r="7" spans="1:25" ht="27.75" hidden="1" customHeight="1" outlineLevel="1" x14ac:dyDescent="0.3">
      <c r="A7" s="464"/>
      <c r="B7" s="519"/>
      <c r="C7" s="143" t="s">
        <v>77</v>
      </c>
      <c r="D7" s="144" t="s">
        <v>7</v>
      </c>
      <c r="E7" s="145"/>
      <c r="F7" s="146"/>
      <c r="G7" s="147">
        <f>[3]VOKA_Omrežnina_predrač.2014_2!$AD$12</f>
        <v>-0.83739505597014929</v>
      </c>
      <c r="H7" s="146">
        <f t="shared" ref="H7:H9" si="0">ROUND(G7,4)*1.095</f>
        <v>-0.91695300000000002</v>
      </c>
      <c r="I7" s="148">
        <f>H7-F7</f>
        <v>-0.91695300000000002</v>
      </c>
      <c r="J7" s="149"/>
      <c r="K7" s="239"/>
      <c r="L7" s="240"/>
      <c r="M7" s="240"/>
      <c r="N7" s="240"/>
      <c r="O7" s="241"/>
      <c r="P7" s="193"/>
      <c r="Q7" s="194"/>
      <c r="R7" s="188"/>
      <c r="S7" s="190"/>
      <c r="T7" s="190"/>
      <c r="U7" s="190"/>
      <c r="V7" s="313"/>
    </row>
    <row r="8" spans="1:25" ht="27.75" customHeight="1" outlineLevel="1" x14ac:dyDescent="0.3">
      <c r="A8" s="464"/>
      <c r="B8" s="519"/>
      <c r="C8" s="3" t="s">
        <v>8</v>
      </c>
      <c r="D8" s="76" t="s">
        <v>9</v>
      </c>
      <c r="E8" s="12">
        <v>0.29499999999999998</v>
      </c>
      <c r="F8" s="69">
        <f>ROUND(E8,4)*1.095</f>
        <v>0.32302499999999995</v>
      </c>
      <c r="G8" s="246">
        <f>'[3]VOKA_Predr. obdobje plan 2014'!$AH$72</f>
        <v>0.3950807002040157</v>
      </c>
      <c r="H8" s="69">
        <f t="shared" si="0"/>
        <v>0.43263449999999998</v>
      </c>
      <c r="I8" s="64">
        <f t="shared" ref="I8:I36" si="1">H8-F8</f>
        <v>0.10960950000000003</v>
      </c>
      <c r="J8" s="113">
        <f t="shared" ref="J8:J36" si="2">G8/E8</f>
        <v>1.3392566108610702</v>
      </c>
      <c r="K8" s="195">
        <f>4*$L$2</f>
        <v>15.2</v>
      </c>
      <c r="L8" s="197">
        <f>K8*F8</f>
        <v>4.9099799999999991</v>
      </c>
      <c r="M8" s="197">
        <f>K8*H8</f>
        <v>6.5760443999999998</v>
      </c>
      <c r="N8" s="197">
        <f>M8-L8</f>
        <v>1.6660644000000007</v>
      </c>
      <c r="O8" s="199"/>
      <c r="P8" s="193"/>
      <c r="Q8" s="195">
        <f>4*$L$2</f>
        <v>15.2</v>
      </c>
      <c r="R8" s="195">
        <f>4*$L$2</f>
        <v>15.2</v>
      </c>
      <c r="S8" s="197">
        <f>Q8*F8</f>
        <v>4.9099799999999991</v>
      </c>
      <c r="T8" s="197">
        <f>R8*H8</f>
        <v>6.5760443999999998</v>
      </c>
      <c r="U8" s="197">
        <f>T8-S8</f>
        <v>1.6660644000000007</v>
      </c>
      <c r="V8" s="314"/>
      <c r="X8">
        <f>N8/4</f>
        <v>0.41651610000000017</v>
      </c>
    </row>
    <row r="9" spans="1:25" ht="27.75" customHeight="1" outlineLevel="1" x14ac:dyDescent="0.3">
      <c r="A9" s="464"/>
      <c r="B9" s="519"/>
      <c r="C9" s="4" t="s">
        <v>10</v>
      </c>
      <c r="D9" s="77" t="s">
        <v>9</v>
      </c>
      <c r="E9" s="9">
        <v>6.3799999999999996E-2</v>
      </c>
      <c r="F9" s="70">
        <f>ROUND(E9,4)*1.095</f>
        <v>6.9860999999999993E-2</v>
      </c>
      <c r="G9" s="60">
        <v>6.3799999999999996E-2</v>
      </c>
      <c r="H9" s="70">
        <f t="shared" si="0"/>
        <v>6.9860999999999993E-2</v>
      </c>
      <c r="I9" s="65">
        <f t="shared" si="1"/>
        <v>0</v>
      </c>
      <c r="J9" s="114">
        <f t="shared" si="2"/>
        <v>1</v>
      </c>
      <c r="K9" s="200">
        <f>4*$L$2</f>
        <v>15.2</v>
      </c>
      <c r="L9" s="202">
        <f>K9*F9</f>
        <v>1.0618871999999999</v>
      </c>
      <c r="M9" s="202">
        <f>K9*H9</f>
        <v>1.0618871999999999</v>
      </c>
      <c r="N9" s="202">
        <f>M9-L9</f>
        <v>0</v>
      </c>
      <c r="O9" s="204"/>
      <c r="P9" s="193"/>
      <c r="Q9" s="200">
        <f>4*$L$2</f>
        <v>15.2</v>
      </c>
      <c r="R9" s="200">
        <f>4*$L$2</f>
        <v>15.2</v>
      </c>
      <c r="S9" s="202">
        <f>Q9*F9</f>
        <v>1.0618871999999999</v>
      </c>
      <c r="T9" s="202">
        <f>R9*H9</f>
        <v>1.0618871999999999</v>
      </c>
      <c r="U9" s="202">
        <f>T9-S9</f>
        <v>0</v>
      </c>
      <c r="V9" s="315"/>
    </row>
    <row r="10" spans="1:25" ht="27.75" customHeight="1" outlineLevel="1" x14ac:dyDescent="0.3">
      <c r="A10" s="464"/>
      <c r="B10" s="520"/>
      <c r="C10" s="154" t="s">
        <v>60</v>
      </c>
      <c r="D10" s="139"/>
      <c r="E10" s="150"/>
      <c r="F10" s="140"/>
      <c r="G10" s="150"/>
      <c r="H10" s="140"/>
      <c r="I10" s="151"/>
      <c r="J10" s="163"/>
      <c r="K10" s="205"/>
      <c r="L10" s="207">
        <f>SUM(L5:L9)</f>
        <v>10.030156199999999</v>
      </c>
      <c r="M10" s="207">
        <f t="shared" ref="M10:N10" si="3">SUM(M5:M9)</f>
        <v>10.2521346</v>
      </c>
      <c r="N10" s="207">
        <f t="shared" si="3"/>
        <v>0.22197840000000024</v>
      </c>
      <c r="O10" s="254">
        <f t="shared" ref="O10" si="4">M10/L10</f>
        <v>1.0221311010091749</v>
      </c>
      <c r="P10" s="193"/>
      <c r="Q10" s="205"/>
      <c r="R10" s="205"/>
      <c r="S10" s="207">
        <f>SUM(S5:S9)</f>
        <v>6.8081671999999989</v>
      </c>
      <c r="T10" s="207">
        <f t="shared" ref="T10:U10" si="5">SUM(T5:T9)</f>
        <v>10.2521346</v>
      </c>
      <c r="U10" s="207">
        <f t="shared" si="5"/>
        <v>3.4439674000000005</v>
      </c>
      <c r="V10" s="316">
        <f t="shared" ref="V10" si="6">T10/S10</f>
        <v>1.5058582286286979</v>
      </c>
    </row>
    <row r="11" spans="1:25" ht="27.75" customHeight="1" outlineLevel="1" x14ac:dyDescent="0.3">
      <c r="A11" s="464"/>
      <c r="B11" s="521" t="s">
        <v>11</v>
      </c>
      <c r="C11" s="143" t="s">
        <v>30</v>
      </c>
      <c r="D11" s="144" t="s">
        <v>7</v>
      </c>
      <c r="E11" s="145">
        <v>3.6331000000000002</v>
      </c>
      <c r="F11" s="146">
        <f t="shared" ref="F11:F14" si="7">ROUND(E11,4)*1.095</f>
        <v>3.9782445000000002</v>
      </c>
      <c r="G11" s="147">
        <f>[3]VOKA_Omrežnina_predrač.2014_2!$Q$12</f>
        <v>3.5094837324898331</v>
      </c>
      <c r="H11" s="146">
        <f t="shared" ref="H11:H14" si="8">ROUND(G11,4)*1.095</f>
        <v>3.8429025000000001</v>
      </c>
      <c r="I11" s="148">
        <f t="shared" si="1"/>
        <v>-0.13534200000000007</v>
      </c>
      <c r="J11" s="149">
        <f t="shared" si="2"/>
        <v>0.96597498898732015</v>
      </c>
      <c r="K11" s="188">
        <v>1</v>
      </c>
      <c r="L11" s="190">
        <f>K11*F11</f>
        <v>3.9782445000000002</v>
      </c>
      <c r="M11" s="190">
        <f>K11*H11</f>
        <v>3.8429025000000001</v>
      </c>
      <c r="N11" s="190">
        <f>M11-L11</f>
        <v>-0.13534200000000007</v>
      </c>
      <c r="O11" s="192"/>
      <c r="P11" s="193"/>
      <c r="Q11" s="194" t="s">
        <v>73</v>
      </c>
      <c r="R11" s="188">
        <v>1</v>
      </c>
      <c r="S11" s="190">
        <v>0.82199999999999995</v>
      </c>
      <c r="T11" s="190">
        <f>R11*H11</f>
        <v>3.8429025000000001</v>
      </c>
      <c r="U11" s="190">
        <f>T11-S11</f>
        <v>3.0209025</v>
      </c>
      <c r="V11" s="313"/>
    </row>
    <row r="12" spans="1:25" ht="27.75" customHeight="1" outlineLevel="1" x14ac:dyDescent="0.3">
      <c r="A12" s="464"/>
      <c r="B12" s="522"/>
      <c r="C12" s="3" t="s">
        <v>8</v>
      </c>
      <c r="D12" s="76" t="s">
        <v>9</v>
      </c>
      <c r="E12" s="12">
        <v>0.21279999999999999</v>
      </c>
      <c r="F12" s="69">
        <f t="shared" si="7"/>
        <v>0.23301599999999997</v>
      </c>
      <c r="G12" s="247">
        <f>'[3]VOKA_Predr. obdobje plan 2014'!$AX$72</f>
        <v>0.26222610975329474</v>
      </c>
      <c r="H12" s="69">
        <f t="shared" si="8"/>
        <v>0.287109</v>
      </c>
      <c r="I12" s="64">
        <f t="shared" si="1"/>
        <v>5.409300000000003E-2</v>
      </c>
      <c r="J12" s="113">
        <f t="shared" si="2"/>
        <v>1.2322655533519491</v>
      </c>
      <c r="K12" s="195">
        <f>4*$L$2</f>
        <v>15.2</v>
      </c>
      <c r="L12" s="197">
        <f>K12*F12</f>
        <v>3.5418431999999993</v>
      </c>
      <c r="M12" s="197">
        <f>K12*H12</f>
        <v>4.3640568000000002</v>
      </c>
      <c r="N12" s="197">
        <f>M12-L12</f>
        <v>0.82221360000000088</v>
      </c>
      <c r="O12" s="199"/>
      <c r="P12" s="193"/>
      <c r="Q12" s="195">
        <f>4*$L$2</f>
        <v>15.2</v>
      </c>
      <c r="R12" s="195">
        <f>4*$L$2</f>
        <v>15.2</v>
      </c>
      <c r="S12" s="197">
        <f>Q12*F12</f>
        <v>3.5418431999999993</v>
      </c>
      <c r="T12" s="197">
        <f>R12*H12</f>
        <v>4.3640568000000002</v>
      </c>
      <c r="U12" s="197">
        <f>T12-S12</f>
        <v>0.82221360000000088</v>
      </c>
      <c r="V12" s="314"/>
      <c r="X12">
        <f>N12/4</f>
        <v>0.20555340000000022</v>
      </c>
    </row>
    <row r="13" spans="1:25" ht="27.75" customHeight="1" outlineLevel="1" x14ac:dyDescent="0.3">
      <c r="A13" s="464"/>
      <c r="B13" s="522"/>
      <c r="C13" s="3" t="s">
        <v>42</v>
      </c>
      <c r="D13" s="76" t="s">
        <v>9</v>
      </c>
      <c r="E13" s="12">
        <v>0.52829999999999999</v>
      </c>
      <c r="F13" s="69">
        <f>ROUND(E13,4)*1</f>
        <v>0.52829999999999999</v>
      </c>
      <c r="G13" s="59">
        <v>0.52829999999999999</v>
      </c>
      <c r="H13" s="69">
        <f>ROUND(G13,4)*1</f>
        <v>0.52829999999999999</v>
      </c>
      <c r="I13" s="64">
        <f t="shared" si="1"/>
        <v>0</v>
      </c>
      <c r="J13" s="113">
        <f t="shared" si="2"/>
        <v>1</v>
      </c>
      <c r="K13" s="195">
        <f>4*$L$2</f>
        <v>15.2</v>
      </c>
      <c r="L13" s="197">
        <f>K13*F13</f>
        <v>8.0301599999999986</v>
      </c>
      <c r="M13" s="197">
        <f>K13*H13</f>
        <v>8.0301599999999986</v>
      </c>
      <c r="N13" s="197">
        <f>M13-L13</f>
        <v>0</v>
      </c>
      <c r="O13" s="199"/>
      <c r="P13" s="193"/>
      <c r="Q13" s="195">
        <f>4*$L$2</f>
        <v>15.2</v>
      </c>
      <c r="R13" s="195">
        <f>4*$L$2</f>
        <v>15.2</v>
      </c>
      <c r="S13" s="197">
        <f>Q13*F13</f>
        <v>8.0301599999999986</v>
      </c>
      <c r="T13" s="197">
        <f>R13*H13</f>
        <v>8.0301599999999986</v>
      </c>
      <c r="U13" s="197">
        <f>T13-S13</f>
        <v>0</v>
      </c>
      <c r="V13" s="314"/>
    </row>
    <row r="14" spans="1:25" ht="27.75" hidden="1" customHeight="1" outlineLevel="1" x14ac:dyDescent="0.3">
      <c r="A14" s="464"/>
      <c r="B14" s="523"/>
      <c r="C14" s="180" t="s">
        <v>75</v>
      </c>
      <c r="D14" s="76" t="s">
        <v>9</v>
      </c>
      <c r="E14" s="181">
        <v>48.2</v>
      </c>
      <c r="F14" s="185">
        <f t="shared" si="7"/>
        <v>52.779000000000003</v>
      </c>
      <c r="G14" s="182">
        <v>49.392000000000003</v>
      </c>
      <c r="H14" s="185">
        <f t="shared" si="8"/>
        <v>54.084240000000001</v>
      </c>
      <c r="I14" s="183">
        <f t="shared" si="1"/>
        <v>1.3052399999999977</v>
      </c>
      <c r="J14" s="184">
        <f t="shared" si="2"/>
        <v>1.0247302904564315</v>
      </c>
      <c r="K14" s="210"/>
      <c r="L14" s="212"/>
      <c r="M14" s="212"/>
      <c r="N14" s="214"/>
      <c r="O14" s="216"/>
      <c r="P14" s="193"/>
      <c r="Q14" s="210"/>
      <c r="R14" s="210"/>
      <c r="S14" s="212"/>
      <c r="T14" s="212"/>
      <c r="U14" s="212"/>
      <c r="V14" s="317"/>
    </row>
    <row r="15" spans="1:25" ht="27.75" customHeight="1" outlineLevel="1" x14ac:dyDescent="0.3">
      <c r="A15" s="464"/>
      <c r="B15" s="524"/>
      <c r="C15" s="155" t="s">
        <v>61</v>
      </c>
      <c r="D15" s="141"/>
      <c r="E15" s="152"/>
      <c r="F15" s="142"/>
      <c r="G15" s="152"/>
      <c r="H15" s="142"/>
      <c r="I15" s="153"/>
      <c r="J15" s="164"/>
      <c r="K15" s="219"/>
      <c r="L15" s="223">
        <f>SUM(L11:L13)</f>
        <v>15.550247699999998</v>
      </c>
      <c r="M15" s="223">
        <f t="shared" ref="M15:N15" si="9">SUM(M11:M13)</f>
        <v>16.2371193</v>
      </c>
      <c r="N15" s="223">
        <f t="shared" si="9"/>
        <v>0.6868716000000008</v>
      </c>
      <c r="O15" s="312">
        <f>M15/L15</f>
        <v>1.0441711034609438</v>
      </c>
      <c r="P15" s="193"/>
      <c r="Q15" s="219"/>
      <c r="R15" s="219"/>
      <c r="S15" s="223">
        <f>SUM(S11:S13)</f>
        <v>12.394003199999997</v>
      </c>
      <c r="T15" s="223">
        <f t="shared" ref="T15:U15" si="10">SUM(T11:T13)</f>
        <v>16.2371193</v>
      </c>
      <c r="U15" s="223">
        <f t="shared" si="10"/>
        <v>3.8431161000000009</v>
      </c>
      <c r="V15" s="318">
        <f>T15/S15</f>
        <v>1.3100786757905634</v>
      </c>
    </row>
    <row r="16" spans="1:25" ht="27.75" customHeight="1" thickBot="1" x14ac:dyDescent="0.35">
      <c r="A16" s="465"/>
      <c r="B16" s="515" t="s">
        <v>62</v>
      </c>
      <c r="C16" s="516"/>
      <c r="D16" s="517"/>
      <c r="E16" s="157"/>
      <c r="F16" s="158"/>
      <c r="G16" s="159"/>
      <c r="H16" s="158"/>
      <c r="I16" s="160"/>
      <c r="J16" s="165"/>
      <c r="K16" s="226"/>
      <c r="L16" s="228">
        <f>L10+L15</f>
        <v>25.580403899999997</v>
      </c>
      <c r="M16" s="228">
        <f t="shared" ref="M16:N16" si="11">M10+M15</f>
        <v>26.489253900000001</v>
      </c>
      <c r="N16" s="186">
        <f t="shared" si="11"/>
        <v>0.90885000000000105</v>
      </c>
      <c r="O16" s="230">
        <f>M16/L16</f>
        <v>1.0355291497176089</v>
      </c>
      <c r="P16" s="193"/>
      <c r="Q16" s="226"/>
      <c r="R16" s="226"/>
      <c r="S16" s="228">
        <f>S10+S15</f>
        <v>19.202170399999996</v>
      </c>
      <c r="T16" s="228">
        <f t="shared" ref="T16:U16" si="12">T10+T15</f>
        <v>26.489253900000001</v>
      </c>
      <c r="U16" s="186">
        <f t="shared" si="12"/>
        <v>7.2870835000000014</v>
      </c>
      <c r="V16" s="319">
        <f>T16/S16</f>
        <v>1.3794927004709845</v>
      </c>
      <c r="X16" s="2">
        <f>N16/4</f>
        <v>0.22721250000000026</v>
      </c>
      <c r="Y16" s="2">
        <f>U16/4</f>
        <v>1.8217708750000003</v>
      </c>
    </row>
    <row r="17" spans="1:25" ht="27.75" customHeight="1" outlineLevel="1" x14ac:dyDescent="0.3">
      <c r="A17" s="463" t="s">
        <v>12</v>
      </c>
      <c r="B17" s="518" t="s">
        <v>6</v>
      </c>
      <c r="C17" s="132" t="s">
        <v>30</v>
      </c>
      <c r="D17" s="133" t="s">
        <v>7</v>
      </c>
      <c r="E17" s="134">
        <v>3.2275</v>
      </c>
      <c r="F17" s="135">
        <f>ROUND(E17,4)*1.095</f>
        <v>3.5341125</v>
      </c>
      <c r="G17" s="136">
        <f>[3]VOKA_Omrežnina_predrač.2014_2!$P$23</f>
        <v>2.0541620450606586</v>
      </c>
      <c r="H17" s="135">
        <f t="shared" ref="H17:H20" si="13">ROUND(G17,4)*1.095</f>
        <v>2.2493489999999996</v>
      </c>
      <c r="I17" s="137">
        <f t="shared" si="1"/>
        <v>-1.2847635000000004</v>
      </c>
      <c r="J17" s="138">
        <f t="shared" si="2"/>
        <v>0.63645609451918161</v>
      </c>
      <c r="K17" s="231">
        <v>1</v>
      </c>
      <c r="L17" s="233">
        <f>K17*F17</f>
        <v>3.5341125</v>
      </c>
      <c r="M17" s="233">
        <f>K17*H17</f>
        <v>2.2493489999999996</v>
      </c>
      <c r="N17" s="233">
        <f>M17-L17</f>
        <v>-1.2847635000000004</v>
      </c>
      <c r="O17" s="235"/>
      <c r="P17" s="193"/>
      <c r="Q17" s="236" t="s">
        <v>73</v>
      </c>
      <c r="R17" s="231">
        <v>1</v>
      </c>
      <c r="S17" s="233">
        <v>1.0134000000000001</v>
      </c>
      <c r="T17" s="233">
        <f>R17*H17</f>
        <v>2.2493489999999996</v>
      </c>
      <c r="U17" s="233">
        <f>T17-S17</f>
        <v>1.2359489999999995</v>
      </c>
      <c r="V17" s="320"/>
    </row>
    <row r="18" spans="1:25" ht="27.75" customHeight="1" outlineLevel="1" x14ac:dyDescent="0.3">
      <c r="A18" s="464"/>
      <c r="B18" s="519"/>
      <c r="C18" s="143" t="s">
        <v>77</v>
      </c>
      <c r="D18" s="144" t="s">
        <v>7</v>
      </c>
      <c r="E18" s="145"/>
      <c r="F18" s="146"/>
      <c r="G18" s="147">
        <f>[3]VOKA_Omrežnina_predrač.2014_2!$AD$23</f>
        <v>-0.83739505597014929</v>
      </c>
      <c r="H18" s="146">
        <f t="shared" si="13"/>
        <v>-0.91695300000000002</v>
      </c>
      <c r="I18" s="148">
        <f>H18-F18</f>
        <v>-0.91695300000000002</v>
      </c>
      <c r="J18" s="149"/>
      <c r="K18" s="239"/>
      <c r="L18" s="240"/>
      <c r="M18" s="240"/>
      <c r="N18" s="240"/>
      <c r="O18" s="241"/>
      <c r="P18" s="193"/>
      <c r="Q18" s="194"/>
      <c r="R18" s="188">
        <v>1</v>
      </c>
      <c r="S18" s="190"/>
      <c r="T18" s="190">
        <f>R18*H18</f>
        <v>-0.91695300000000002</v>
      </c>
      <c r="U18" s="190">
        <f>T18-S18</f>
        <v>-0.91695300000000002</v>
      </c>
      <c r="V18" s="313"/>
    </row>
    <row r="19" spans="1:25" ht="27.75" customHeight="1" outlineLevel="1" x14ac:dyDescent="0.3">
      <c r="A19" s="464"/>
      <c r="B19" s="519"/>
      <c r="C19" s="3" t="s">
        <v>8</v>
      </c>
      <c r="D19" s="76" t="s">
        <v>9</v>
      </c>
      <c r="E19" s="12">
        <v>0.26219999999999999</v>
      </c>
      <c r="F19" s="69">
        <f>ROUND(E19,4)*1.095</f>
        <v>0.287109</v>
      </c>
      <c r="G19" s="246">
        <f>'[3]VOKA_Predr. obdobje plan 2014'!$AI$72</f>
        <v>0.39508068389239753</v>
      </c>
      <c r="H19" s="69">
        <f t="shared" si="13"/>
        <v>0.43263449999999998</v>
      </c>
      <c r="I19" s="64">
        <f t="shared" si="1"/>
        <v>0.14552549999999997</v>
      </c>
      <c r="J19" s="113">
        <f t="shared" si="2"/>
        <v>1.5067913191929732</v>
      </c>
      <c r="K19" s="195">
        <f>4*$L$2</f>
        <v>15.2</v>
      </c>
      <c r="L19" s="197">
        <f>K19*F19</f>
        <v>4.3640568000000002</v>
      </c>
      <c r="M19" s="197">
        <f>K19*H19</f>
        <v>6.5760443999999998</v>
      </c>
      <c r="N19" s="197">
        <f>M19-L19</f>
        <v>2.2119875999999996</v>
      </c>
      <c r="O19" s="199"/>
      <c r="P19" s="193"/>
      <c r="Q19" s="195">
        <f>4*$L$2</f>
        <v>15.2</v>
      </c>
      <c r="R19" s="195">
        <f>4*$L$2</f>
        <v>15.2</v>
      </c>
      <c r="S19" s="197">
        <f>Q19*F19</f>
        <v>4.3640568000000002</v>
      </c>
      <c r="T19" s="197">
        <f>R19*H19</f>
        <v>6.5760443999999998</v>
      </c>
      <c r="U19" s="197">
        <f>T19-S19</f>
        <v>2.2119875999999996</v>
      </c>
      <c r="V19" s="314"/>
      <c r="X19">
        <f>N19/4</f>
        <v>0.5529968999999999</v>
      </c>
    </row>
    <row r="20" spans="1:25" ht="27.75" customHeight="1" outlineLevel="1" x14ac:dyDescent="0.3">
      <c r="A20" s="464"/>
      <c r="B20" s="519"/>
      <c r="C20" s="4" t="s">
        <v>10</v>
      </c>
      <c r="D20" s="77" t="s">
        <v>9</v>
      </c>
      <c r="E20" s="9">
        <v>6.3799999999999996E-2</v>
      </c>
      <c r="F20" s="70">
        <f>ROUND(E20,4)*1.095</f>
        <v>6.9860999999999993E-2</v>
      </c>
      <c r="G20" s="60">
        <v>6.3799999999999996E-2</v>
      </c>
      <c r="H20" s="70">
        <f t="shared" si="13"/>
        <v>6.9860999999999993E-2</v>
      </c>
      <c r="I20" s="65">
        <f t="shared" si="1"/>
        <v>0</v>
      </c>
      <c r="J20" s="114">
        <f t="shared" si="2"/>
        <v>1</v>
      </c>
      <c r="K20" s="200">
        <f>4*$L$2</f>
        <v>15.2</v>
      </c>
      <c r="L20" s="202">
        <f>K20*F20</f>
        <v>1.0618871999999999</v>
      </c>
      <c r="M20" s="202">
        <f>K20*H20</f>
        <v>1.0618871999999999</v>
      </c>
      <c r="N20" s="202">
        <f>M20-L20</f>
        <v>0</v>
      </c>
      <c r="O20" s="204"/>
      <c r="P20" s="193"/>
      <c r="Q20" s="200">
        <f>4*$L$2</f>
        <v>15.2</v>
      </c>
      <c r="R20" s="200">
        <f>4*$L$2</f>
        <v>15.2</v>
      </c>
      <c r="S20" s="202">
        <f>Q20*F20</f>
        <v>1.0618871999999999</v>
      </c>
      <c r="T20" s="202">
        <f>R20*H20</f>
        <v>1.0618871999999999</v>
      </c>
      <c r="U20" s="202">
        <f>T20-S20</f>
        <v>0</v>
      </c>
      <c r="V20" s="315"/>
    </row>
    <row r="21" spans="1:25" ht="27.75" customHeight="1" outlineLevel="1" thickBot="1" x14ac:dyDescent="0.35">
      <c r="A21" s="464"/>
      <c r="B21" s="520"/>
      <c r="C21" s="154" t="s">
        <v>60</v>
      </c>
      <c r="D21" s="139"/>
      <c r="E21" s="150"/>
      <c r="F21" s="140"/>
      <c r="G21" s="150"/>
      <c r="H21" s="140"/>
      <c r="I21" s="151"/>
      <c r="J21" s="163"/>
      <c r="K21" s="205"/>
      <c r="L21" s="207">
        <f>SUM(L17:L20)</f>
        <v>8.9600565000000003</v>
      </c>
      <c r="M21" s="207">
        <f t="shared" ref="M21:N21" si="14">SUM(M17:M20)</f>
        <v>9.8872805999999986</v>
      </c>
      <c r="N21" s="207">
        <f t="shared" si="14"/>
        <v>0.92722409999999922</v>
      </c>
      <c r="O21" s="209">
        <f t="shared" ref="O21" si="15">M21/L21</f>
        <v>1.1034841800383735</v>
      </c>
      <c r="P21" s="193"/>
      <c r="Q21" s="205"/>
      <c r="R21" s="205"/>
      <c r="S21" s="207">
        <f>SUM(S17:S20)</f>
        <v>6.4393440000000002</v>
      </c>
      <c r="T21" s="207">
        <f t="shared" ref="T21:U21" si="16">SUM(T17:T20)</f>
        <v>8.9703275999999992</v>
      </c>
      <c r="U21" s="207">
        <f t="shared" si="16"/>
        <v>2.530983599999999</v>
      </c>
      <c r="V21" s="321">
        <f t="shared" ref="V21" si="17">T21/S21</f>
        <v>1.3930499131588558</v>
      </c>
    </row>
    <row r="22" spans="1:25" ht="27.75" customHeight="1" outlineLevel="1" x14ac:dyDescent="0.3">
      <c r="A22" s="464"/>
      <c r="B22" s="521" t="s">
        <v>11</v>
      </c>
      <c r="C22" s="143" t="s">
        <v>30</v>
      </c>
      <c r="D22" s="144" t="s">
        <v>7</v>
      </c>
      <c r="E22" s="145">
        <v>2.9375</v>
      </c>
      <c r="F22" s="146">
        <f>ROUND(E22,4)*1.095</f>
        <v>3.2165624999999998</v>
      </c>
      <c r="G22" s="147">
        <f>[3]VOKA_Omrežnina_predrač.2014_2!$Q$23</f>
        <v>2.5634939341421146</v>
      </c>
      <c r="H22" s="146">
        <f t="shared" ref="H22:H29" si="18">ROUND(G22,4)*1.095</f>
        <v>2.8070324999999996</v>
      </c>
      <c r="I22" s="148">
        <f t="shared" si="1"/>
        <v>-0.40953000000000017</v>
      </c>
      <c r="J22" s="149">
        <f t="shared" si="2"/>
        <v>0.87267878609093263</v>
      </c>
      <c r="K22" s="188">
        <v>1</v>
      </c>
      <c r="L22" s="190">
        <f>K22*F22</f>
        <v>3.2165624999999998</v>
      </c>
      <c r="M22" s="190">
        <f>K22*H22</f>
        <v>2.8070324999999996</v>
      </c>
      <c r="N22" s="190">
        <f>M22-L22</f>
        <v>-0.40953000000000017</v>
      </c>
      <c r="O22" s="192"/>
      <c r="P22" s="193"/>
      <c r="Q22" s="236" t="s">
        <v>73</v>
      </c>
      <c r="R22" s="188">
        <v>1</v>
      </c>
      <c r="S22" s="190">
        <v>0.92320000000000002</v>
      </c>
      <c r="T22" s="190">
        <f>R22*H22</f>
        <v>2.8070324999999996</v>
      </c>
      <c r="U22" s="190">
        <f>T22-S22</f>
        <v>1.8838324999999996</v>
      </c>
      <c r="V22" s="313"/>
    </row>
    <row r="23" spans="1:25" ht="27.75" customHeight="1" outlineLevel="1" x14ac:dyDescent="0.3">
      <c r="A23" s="464"/>
      <c r="B23" s="522"/>
      <c r="C23" s="3" t="s">
        <v>8</v>
      </c>
      <c r="D23" s="76" t="s">
        <v>9</v>
      </c>
      <c r="E23" s="12">
        <v>0.21460000000000001</v>
      </c>
      <c r="F23" s="69">
        <f>ROUND(E23,4)*1.095</f>
        <v>0.234987</v>
      </c>
      <c r="G23" s="247">
        <f>'[3]VOKA_Predr. obdobje plan 2014'!$AY$72</f>
        <v>0.26222612084913155</v>
      </c>
      <c r="H23" s="69">
        <f t="shared" si="18"/>
        <v>0.287109</v>
      </c>
      <c r="I23" s="64">
        <f t="shared" si="1"/>
        <v>5.2122000000000002E-2</v>
      </c>
      <c r="J23" s="113">
        <f t="shared" si="2"/>
        <v>1.2219297336865402</v>
      </c>
      <c r="K23" s="195">
        <f>4*$L$2</f>
        <v>15.2</v>
      </c>
      <c r="L23" s="197">
        <f>K23*F23</f>
        <v>3.5718023999999997</v>
      </c>
      <c r="M23" s="197">
        <f>K23*H23</f>
        <v>4.3640568000000002</v>
      </c>
      <c r="N23" s="197">
        <f>M23-L23</f>
        <v>0.79225440000000047</v>
      </c>
      <c r="O23" s="199"/>
      <c r="P23" s="193"/>
      <c r="Q23" s="195">
        <f>4*$L$2</f>
        <v>15.2</v>
      </c>
      <c r="R23" s="195">
        <f>4*$L$2</f>
        <v>15.2</v>
      </c>
      <c r="S23" s="197">
        <f>Q23*F23</f>
        <v>3.5718023999999997</v>
      </c>
      <c r="T23" s="197">
        <f>R23*H23</f>
        <v>4.3640568000000002</v>
      </c>
      <c r="U23" s="197">
        <f>T23-S23</f>
        <v>0.79225440000000047</v>
      </c>
      <c r="V23" s="314"/>
      <c r="X23">
        <f>N23/4</f>
        <v>0.19806360000000012</v>
      </c>
    </row>
    <row r="24" spans="1:25" ht="27.75" customHeight="1" outlineLevel="1" x14ac:dyDescent="0.3">
      <c r="A24" s="464"/>
      <c r="B24" s="522"/>
      <c r="C24" s="4" t="s">
        <v>42</v>
      </c>
      <c r="D24" s="77" t="s">
        <v>9</v>
      </c>
      <c r="E24" s="9">
        <v>0.52829999999999999</v>
      </c>
      <c r="F24" s="70">
        <f>ROUND(E24,4)*1</f>
        <v>0.52829999999999999</v>
      </c>
      <c r="G24" s="60">
        <v>0.52829999999999999</v>
      </c>
      <c r="H24" s="70">
        <f>ROUND(G24,4)*1</f>
        <v>0.52829999999999999</v>
      </c>
      <c r="I24" s="65">
        <f t="shared" si="1"/>
        <v>0</v>
      </c>
      <c r="J24" s="114">
        <f t="shared" si="2"/>
        <v>1</v>
      </c>
      <c r="K24" s="259">
        <f>4*$L$2</f>
        <v>15.2</v>
      </c>
      <c r="L24" s="214">
        <f>K24*F24</f>
        <v>8.0301599999999986</v>
      </c>
      <c r="M24" s="214">
        <f>K24*H24</f>
        <v>8.0301599999999986</v>
      </c>
      <c r="N24" s="214">
        <f>M24-L24</f>
        <v>0</v>
      </c>
      <c r="O24" s="257"/>
      <c r="P24" s="193"/>
      <c r="Q24" s="195">
        <f>4*$L$2</f>
        <v>15.2</v>
      </c>
      <c r="R24" s="195">
        <f>4*$L$2</f>
        <v>15.2</v>
      </c>
      <c r="S24" s="197">
        <f>Q24*F24</f>
        <v>8.0301599999999986</v>
      </c>
      <c r="T24" s="197">
        <f>R24*H24</f>
        <v>8.0301599999999986</v>
      </c>
      <c r="U24" s="197">
        <f>T24-S24</f>
        <v>0</v>
      </c>
      <c r="V24" s="314"/>
    </row>
    <row r="25" spans="1:25" ht="27.75" customHeight="1" outlineLevel="1" x14ac:dyDescent="0.3">
      <c r="A25" s="464"/>
      <c r="B25" s="535"/>
      <c r="C25" s="180" t="s">
        <v>75</v>
      </c>
      <c r="D25" s="262" t="s">
        <v>9</v>
      </c>
      <c r="E25" s="181">
        <v>48.2</v>
      </c>
      <c r="F25" s="185">
        <f>ROUND(E25,4)*1.095</f>
        <v>52.779000000000003</v>
      </c>
      <c r="G25" s="182">
        <v>49.392000000000003</v>
      </c>
      <c r="H25" s="185">
        <f t="shared" si="18"/>
        <v>54.084240000000001</v>
      </c>
      <c r="I25" s="183">
        <f t="shared" si="1"/>
        <v>1.3052399999999977</v>
      </c>
      <c r="J25" s="184">
        <f t="shared" si="2"/>
        <v>1.0247302904564315</v>
      </c>
      <c r="K25" s="210"/>
      <c r="L25" s="212"/>
      <c r="M25" s="212"/>
      <c r="N25" s="212"/>
      <c r="O25" s="300"/>
      <c r="P25" s="193"/>
      <c r="Q25" s="260"/>
      <c r="R25" s="260"/>
      <c r="S25" s="214"/>
      <c r="T25" s="214"/>
      <c r="U25" s="214"/>
      <c r="V25" s="322"/>
    </row>
    <row r="26" spans="1:25" ht="27.75" customHeight="1" outlineLevel="1" x14ac:dyDescent="0.3">
      <c r="A26" s="464"/>
      <c r="B26" s="255"/>
      <c r="C26" s="155" t="s">
        <v>92</v>
      </c>
      <c r="D26" s="141"/>
      <c r="E26" s="152"/>
      <c r="F26" s="142"/>
      <c r="G26" s="152"/>
      <c r="H26" s="142"/>
      <c r="I26" s="153"/>
      <c r="J26" s="164"/>
      <c r="K26" s="219"/>
      <c r="L26" s="221">
        <f>SUM(L22:L24)</f>
        <v>14.818524899999998</v>
      </c>
      <c r="M26" s="221">
        <f>SUM(M22:M24)</f>
        <v>15.201249299999999</v>
      </c>
      <c r="N26" s="221">
        <f>SUM(N22:N24)</f>
        <v>0.3827244000000003</v>
      </c>
      <c r="O26" s="225">
        <f>M26/L26</f>
        <v>1.0258274290175806</v>
      </c>
      <c r="P26" s="193"/>
      <c r="Q26" s="258"/>
      <c r="R26" s="258"/>
      <c r="S26" s="221">
        <f>SUM(S22:S24)</f>
        <v>12.525162399999999</v>
      </c>
      <c r="T26" s="221">
        <f>SUM(T22:T24)</f>
        <v>15.201249299999999</v>
      </c>
      <c r="U26" s="221">
        <f>SUM(U22:U24)</f>
        <v>2.6760869</v>
      </c>
      <c r="V26" s="323">
        <f>T26/S26</f>
        <v>1.2136568624451527</v>
      </c>
    </row>
    <row r="27" spans="1:25" ht="27.75" customHeight="1" outlineLevel="1" x14ac:dyDescent="0.3">
      <c r="A27" s="464"/>
      <c r="B27" s="544" t="s">
        <v>96</v>
      </c>
      <c r="C27" s="263" t="s">
        <v>30</v>
      </c>
      <c r="D27" s="256" t="s">
        <v>7</v>
      </c>
      <c r="E27" s="538"/>
      <c r="F27" s="539"/>
      <c r="G27" s="264">
        <f>[3]VOKA_Omrežnina_predrač.2014_2!$R$23</f>
        <v>4.4609800000000002</v>
      </c>
      <c r="H27" s="265">
        <f t="shared" si="18"/>
        <v>4.8847950000000004</v>
      </c>
      <c r="I27" s="266">
        <f t="shared" si="1"/>
        <v>4.8847950000000004</v>
      </c>
      <c r="J27" s="267"/>
      <c r="K27" s="268">
        <v>1</v>
      </c>
      <c r="L27" s="289"/>
      <c r="M27" s="289">
        <f t="shared" ref="M27:M30" si="19">K27*H27</f>
        <v>4.8847950000000004</v>
      </c>
      <c r="N27" s="289">
        <f t="shared" ref="N27:N29" si="20">M27-L27</f>
        <v>4.8847950000000004</v>
      </c>
      <c r="O27" s="290"/>
      <c r="P27" s="193"/>
      <c r="Q27" s="194"/>
      <c r="R27" s="188"/>
      <c r="S27" s="190"/>
      <c r="T27" s="190"/>
      <c r="U27" s="190"/>
      <c r="V27" s="313"/>
    </row>
    <row r="28" spans="1:25" ht="27.75" customHeight="1" outlineLevel="1" x14ac:dyDescent="0.3">
      <c r="A28" s="464"/>
      <c r="B28" s="523"/>
      <c r="C28" s="143" t="s">
        <v>97</v>
      </c>
      <c r="D28" s="283" t="s">
        <v>7</v>
      </c>
      <c r="E28" s="540"/>
      <c r="F28" s="541"/>
      <c r="G28" s="273">
        <f>[3]VOKA_Omrežnina_predrač.2014_2!$AS$22</f>
        <v>-2.2305000000000001</v>
      </c>
      <c r="H28" s="274">
        <f t="shared" si="18"/>
        <v>-2.4423975000000002</v>
      </c>
      <c r="I28" s="275"/>
      <c r="J28" s="276"/>
      <c r="K28" s="277">
        <v>1</v>
      </c>
      <c r="L28" s="278"/>
      <c r="M28" s="278">
        <f t="shared" si="19"/>
        <v>-2.4423975000000002</v>
      </c>
      <c r="N28" s="278">
        <f t="shared" si="20"/>
        <v>-2.4423975000000002</v>
      </c>
      <c r="O28" s="279"/>
      <c r="P28" s="193"/>
      <c r="Q28" s="280"/>
      <c r="R28" s="281"/>
      <c r="S28" s="282"/>
      <c r="T28" s="282"/>
      <c r="U28" s="282"/>
      <c r="V28" s="324"/>
    </row>
    <row r="29" spans="1:25" ht="27.75" customHeight="1" outlineLevel="1" x14ac:dyDescent="0.3">
      <c r="A29" s="464"/>
      <c r="B29" s="523"/>
      <c r="C29" s="3" t="s">
        <v>8</v>
      </c>
      <c r="D29" s="76" t="s">
        <v>9</v>
      </c>
      <c r="E29" s="542"/>
      <c r="F29" s="543"/>
      <c r="G29" s="247">
        <f>'[3]VOKA_Predr. obdobje plan 2014'!$BS$72</f>
        <v>0.70669999999999999</v>
      </c>
      <c r="H29" s="69">
        <f t="shared" si="18"/>
        <v>0.77383649999999993</v>
      </c>
      <c r="I29" s="64">
        <f t="shared" si="1"/>
        <v>0.77383649999999993</v>
      </c>
      <c r="J29" s="113"/>
      <c r="K29" s="292">
        <f>4*$L$2</f>
        <v>15.2</v>
      </c>
      <c r="L29" s="293"/>
      <c r="M29" s="293">
        <f t="shared" si="19"/>
        <v>11.762314799999999</v>
      </c>
      <c r="N29" s="293">
        <f t="shared" si="20"/>
        <v>11.762314799999999</v>
      </c>
      <c r="O29" s="199"/>
      <c r="P29" s="193"/>
      <c r="Q29" s="261"/>
      <c r="R29" s="259"/>
      <c r="S29" s="269"/>
      <c r="T29" s="269"/>
      <c r="U29" s="269"/>
      <c r="V29" s="325"/>
    </row>
    <row r="30" spans="1:25" ht="27.75" customHeight="1" outlineLevel="1" x14ac:dyDescent="0.3">
      <c r="A30" s="464"/>
      <c r="B30" s="524"/>
      <c r="C30" s="301" t="s">
        <v>99</v>
      </c>
      <c r="D30" s="288" t="s">
        <v>9</v>
      </c>
      <c r="E30" s="286"/>
      <c r="F30" s="287"/>
      <c r="G30" s="294">
        <v>5.28E-2</v>
      </c>
      <c r="H30" s="295">
        <f>ROUND(G30,4)*1</f>
        <v>5.28E-2</v>
      </c>
      <c r="I30" s="296">
        <f t="shared" si="1"/>
        <v>5.28E-2</v>
      </c>
      <c r="J30" s="297"/>
      <c r="K30" s="298">
        <f>4*$L$2</f>
        <v>15.2</v>
      </c>
      <c r="L30" s="291">
        <f>L24</f>
        <v>8.0301599999999986</v>
      </c>
      <c r="M30" s="291">
        <f t="shared" si="19"/>
        <v>0.80255999999999994</v>
      </c>
      <c r="N30" s="291">
        <f>M30-L30</f>
        <v>-7.2275999999999989</v>
      </c>
      <c r="O30" s="272">
        <f>N30/L30</f>
        <v>-0.90005678591709259</v>
      </c>
      <c r="P30" s="193"/>
      <c r="Q30" s="194"/>
      <c r="R30" s="188"/>
      <c r="S30" s="190"/>
      <c r="T30" s="190"/>
      <c r="U30" s="190"/>
      <c r="V30" s="313"/>
    </row>
    <row r="31" spans="1:25" ht="27.75" customHeight="1" outlineLevel="1" x14ac:dyDescent="0.3">
      <c r="A31" s="464"/>
      <c r="B31" s="536" t="s">
        <v>91</v>
      </c>
      <c r="C31" s="537"/>
      <c r="D31" s="302"/>
      <c r="E31" s="303"/>
      <c r="F31" s="304"/>
      <c r="G31" s="305"/>
      <c r="H31" s="306"/>
      <c r="I31" s="307"/>
      <c r="J31" s="308"/>
      <c r="K31" s="309"/>
      <c r="L31" s="310"/>
      <c r="M31" s="299">
        <f>SUM(M27:M30)</f>
        <v>15.007272299999999</v>
      </c>
      <c r="N31" s="299">
        <f>SUM(N27:N30)</f>
        <v>6.9771122999999999</v>
      </c>
      <c r="O31" s="311"/>
      <c r="P31" s="193"/>
      <c r="Q31" s="210"/>
      <c r="R31" s="210"/>
      <c r="S31" s="270"/>
      <c r="T31" s="271"/>
      <c r="U31" s="271"/>
      <c r="V31" s="326"/>
    </row>
    <row r="32" spans="1:25" ht="27.75" customHeight="1" thickBot="1" x14ac:dyDescent="0.35">
      <c r="A32" s="465"/>
      <c r="B32" s="515" t="s">
        <v>93</v>
      </c>
      <c r="C32" s="516"/>
      <c r="D32" s="517"/>
      <c r="E32" s="157"/>
      <c r="F32" s="158"/>
      <c r="G32" s="159"/>
      <c r="H32" s="158"/>
      <c r="I32" s="160"/>
      <c r="J32" s="165"/>
      <c r="K32" s="226"/>
      <c r="L32" s="228">
        <f>L21+L26</f>
        <v>23.7785814</v>
      </c>
      <c r="M32" s="228">
        <f>M21+M26</f>
        <v>25.088529899999997</v>
      </c>
      <c r="N32" s="186">
        <f>N21+N26</f>
        <v>1.3099484999999995</v>
      </c>
      <c r="O32" s="230">
        <f>M32/L32</f>
        <v>1.0550894301877907</v>
      </c>
      <c r="P32" s="193"/>
      <c r="Q32" s="226"/>
      <c r="R32" s="226"/>
      <c r="S32" s="228">
        <f>S21+S26</f>
        <v>18.964506399999998</v>
      </c>
      <c r="T32" s="228">
        <f>T21+T26</f>
        <v>24.171576899999998</v>
      </c>
      <c r="U32" s="186">
        <f>U21+U26</f>
        <v>5.2070704999999986</v>
      </c>
      <c r="V32" s="319">
        <f>T32/S32</f>
        <v>1.2745692606056966</v>
      </c>
      <c r="X32" s="2">
        <f>N32/4</f>
        <v>0.32748712499999988</v>
      </c>
      <c r="Y32" s="2">
        <f>U32/4</f>
        <v>1.3017676249999997</v>
      </c>
    </row>
    <row r="33" spans="1:25" ht="27.75" customHeight="1" outlineLevel="1" x14ac:dyDescent="0.3">
      <c r="A33" s="459" t="s">
        <v>13</v>
      </c>
      <c r="B33" s="518" t="s">
        <v>6</v>
      </c>
      <c r="C33" s="132" t="s">
        <v>30</v>
      </c>
      <c r="D33" s="133" t="s">
        <v>7</v>
      </c>
      <c r="E33" s="134">
        <v>1.792</v>
      </c>
      <c r="F33" s="135">
        <f>ROUND(E33,4)*1.095</f>
        <v>1.96224</v>
      </c>
      <c r="G33" s="136">
        <f>[3]VOKA_Omrežnina_predrač.2014_2!$P$34</f>
        <v>2.063210196586736</v>
      </c>
      <c r="H33" s="135">
        <f t="shared" ref="H33:H36" si="21">ROUND(G33,4)*1.095</f>
        <v>2.259204</v>
      </c>
      <c r="I33" s="137">
        <f t="shared" si="1"/>
        <v>0.29696400000000001</v>
      </c>
      <c r="J33" s="138">
        <f t="shared" si="2"/>
        <v>1.1513449757738481</v>
      </c>
      <c r="K33" s="231">
        <v>1</v>
      </c>
      <c r="L33" s="233">
        <f>K33*F33</f>
        <v>1.96224</v>
      </c>
      <c r="M33" s="233">
        <f>K33*H33</f>
        <v>2.259204</v>
      </c>
      <c r="N33" s="233">
        <f>M33-L33</f>
        <v>0.29696400000000001</v>
      </c>
      <c r="O33" s="235"/>
      <c r="P33" s="193"/>
      <c r="Q33" s="236" t="s">
        <v>73</v>
      </c>
      <c r="R33" s="231">
        <v>1</v>
      </c>
      <c r="S33" s="233">
        <v>0.72589999999999999</v>
      </c>
      <c r="T33" s="233">
        <f>R33*H33</f>
        <v>2.259204</v>
      </c>
      <c r="U33" s="233">
        <f>T33-S33</f>
        <v>1.533304</v>
      </c>
      <c r="V33" s="320"/>
    </row>
    <row r="34" spans="1:25" ht="27.75" customHeight="1" outlineLevel="1" x14ac:dyDescent="0.3">
      <c r="A34" s="460"/>
      <c r="B34" s="519"/>
      <c r="C34" s="143" t="s">
        <v>77</v>
      </c>
      <c r="D34" s="144" t="s">
        <v>7</v>
      </c>
      <c r="E34" s="145"/>
      <c r="F34" s="146"/>
      <c r="G34" s="147">
        <f>[3]VOKA_Omrežnina_predrač.2014_2!$AD$34</f>
        <v>-0.83739505597014929</v>
      </c>
      <c r="H34" s="146">
        <f t="shared" si="21"/>
        <v>-0.91695300000000002</v>
      </c>
      <c r="I34" s="148">
        <f>H34-F34</f>
        <v>-0.91695300000000002</v>
      </c>
      <c r="J34" s="149"/>
      <c r="K34" s="239"/>
      <c r="L34" s="240"/>
      <c r="M34" s="240"/>
      <c r="N34" s="240"/>
      <c r="O34" s="241"/>
      <c r="P34" s="193"/>
      <c r="Q34" s="194"/>
      <c r="R34" s="188"/>
      <c r="S34" s="190"/>
      <c r="T34" s="190"/>
      <c r="U34" s="190"/>
      <c r="V34" s="313"/>
    </row>
    <row r="35" spans="1:25" ht="27.75" customHeight="1" outlineLevel="1" x14ac:dyDescent="0.3">
      <c r="A35" s="460"/>
      <c r="B35" s="519"/>
      <c r="C35" s="3" t="s">
        <v>8</v>
      </c>
      <c r="D35" s="76" t="s">
        <v>9</v>
      </c>
      <c r="E35" s="12">
        <v>0.27300000000000002</v>
      </c>
      <c r="F35" s="69">
        <f>ROUND(E35,4)*1.095</f>
        <v>0.29893500000000001</v>
      </c>
      <c r="G35" s="246">
        <f>'[3]VOKA_Predr. obdobje plan 2014'!$AJ$72</f>
        <v>0.39623648814809898</v>
      </c>
      <c r="H35" s="69">
        <f t="shared" si="21"/>
        <v>0.43383899999999997</v>
      </c>
      <c r="I35" s="64">
        <f t="shared" si="1"/>
        <v>0.13490399999999997</v>
      </c>
      <c r="J35" s="113">
        <f t="shared" si="2"/>
        <v>1.4514157075021938</v>
      </c>
      <c r="K35" s="195">
        <f>4*$L$2</f>
        <v>15.2</v>
      </c>
      <c r="L35" s="197">
        <f>K35*F35</f>
        <v>4.543812</v>
      </c>
      <c r="M35" s="197">
        <f>K35*H35</f>
        <v>6.5943527999999993</v>
      </c>
      <c r="N35" s="197">
        <f>M35-L35</f>
        <v>2.0505407999999994</v>
      </c>
      <c r="O35" s="199"/>
      <c r="P35" s="193"/>
      <c r="Q35" s="195">
        <f>4*$L$2</f>
        <v>15.2</v>
      </c>
      <c r="R35" s="195">
        <f>4*$L$2</f>
        <v>15.2</v>
      </c>
      <c r="S35" s="197">
        <f>Q35*F35</f>
        <v>4.543812</v>
      </c>
      <c r="T35" s="197">
        <f>R35*H35</f>
        <v>6.5943527999999993</v>
      </c>
      <c r="U35" s="197">
        <f>T35-S35</f>
        <v>2.0505407999999994</v>
      </c>
      <c r="V35" s="314"/>
      <c r="X35">
        <f>N35/4</f>
        <v>0.51263519999999985</v>
      </c>
    </row>
    <row r="36" spans="1:25" ht="27.75" customHeight="1" outlineLevel="1" x14ac:dyDescent="0.3">
      <c r="A36" s="460"/>
      <c r="B36" s="519"/>
      <c r="C36" s="4" t="s">
        <v>10</v>
      </c>
      <c r="D36" s="77" t="s">
        <v>9</v>
      </c>
      <c r="E36" s="9">
        <v>6.3799999999999996E-2</v>
      </c>
      <c r="F36" s="70">
        <f>ROUND(E36,4)*1.095</f>
        <v>6.9860999999999993E-2</v>
      </c>
      <c r="G36" s="60">
        <v>6.3799999999999996E-2</v>
      </c>
      <c r="H36" s="70">
        <f t="shared" si="21"/>
        <v>6.9860999999999993E-2</v>
      </c>
      <c r="I36" s="65">
        <f t="shared" si="1"/>
        <v>0</v>
      </c>
      <c r="J36" s="114">
        <f t="shared" si="2"/>
        <v>1</v>
      </c>
      <c r="K36" s="200">
        <f>4*$L$2</f>
        <v>15.2</v>
      </c>
      <c r="L36" s="202">
        <f>K36*F36</f>
        <v>1.0618871999999999</v>
      </c>
      <c r="M36" s="202">
        <f>K36*H36</f>
        <v>1.0618871999999999</v>
      </c>
      <c r="N36" s="202">
        <f>M36-L36</f>
        <v>0</v>
      </c>
      <c r="O36" s="204"/>
      <c r="P36" s="193"/>
      <c r="Q36" s="200">
        <f>4*$L$2</f>
        <v>15.2</v>
      </c>
      <c r="R36" s="200">
        <f>4*$L$2</f>
        <v>15.2</v>
      </c>
      <c r="S36" s="202">
        <f>Q36*F36</f>
        <v>1.0618871999999999</v>
      </c>
      <c r="T36" s="202">
        <f>R36*H36</f>
        <v>1.0618871999999999</v>
      </c>
      <c r="U36" s="202">
        <f>T36-S36</f>
        <v>0</v>
      </c>
      <c r="V36" s="315"/>
    </row>
    <row r="37" spans="1:25" ht="27.75" customHeight="1" outlineLevel="1" x14ac:dyDescent="0.3">
      <c r="A37" s="460"/>
      <c r="B37" s="520"/>
      <c r="C37" s="154" t="s">
        <v>60</v>
      </c>
      <c r="D37" s="139"/>
      <c r="E37" s="152"/>
      <c r="F37" s="142"/>
      <c r="G37" s="152"/>
      <c r="H37" s="142"/>
      <c r="I37" s="153"/>
      <c r="J37" s="163"/>
      <c r="K37" s="205"/>
      <c r="L37" s="207">
        <f>SUM(L33:L36)</f>
        <v>7.5679392000000005</v>
      </c>
      <c r="M37" s="207">
        <f t="shared" ref="M37:N37" si="22">SUM(M33:M36)</f>
        <v>9.915443999999999</v>
      </c>
      <c r="N37" s="207">
        <f t="shared" si="22"/>
        <v>2.3475047999999994</v>
      </c>
      <c r="O37" s="209">
        <f>M37/L37</f>
        <v>1.3101907584035557</v>
      </c>
      <c r="P37" s="193"/>
      <c r="Q37" s="205"/>
      <c r="R37" s="205"/>
      <c r="S37" s="207">
        <f>SUM(S33:S36)</f>
        <v>6.3315992000000003</v>
      </c>
      <c r="T37" s="207">
        <f t="shared" ref="T37:U37" si="23">SUM(T33:T36)</f>
        <v>9.915443999999999</v>
      </c>
      <c r="U37" s="207">
        <f t="shared" si="23"/>
        <v>3.5838447999999996</v>
      </c>
      <c r="V37" s="321">
        <f>T37/S37</f>
        <v>1.5660252152410403</v>
      </c>
    </row>
    <row r="38" spans="1:25" ht="27.75" customHeight="1" thickBot="1" x14ac:dyDescent="0.35">
      <c r="A38" s="461"/>
      <c r="B38" s="515" t="s">
        <v>62</v>
      </c>
      <c r="C38" s="516"/>
      <c r="D38" s="517"/>
      <c r="E38" s="157"/>
      <c r="F38" s="158"/>
      <c r="G38" s="159"/>
      <c r="H38" s="158"/>
      <c r="I38" s="160"/>
      <c r="J38" s="165"/>
      <c r="K38" s="226"/>
      <c r="L38" s="228">
        <f>L37</f>
        <v>7.5679392000000005</v>
      </c>
      <c r="M38" s="228">
        <f t="shared" ref="M38:N38" si="24">M37</f>
        <v>9.915443999999999</v>
      </c>
      <c r="N38" s="187">
        <f t="shared" si="24"/>
        <v>2.3475047999999994</v>
      </c>
      <c r="O38" s="230">
        <f>M38/L38</f>
        <v>1.3101907584035557</v>
      </c>
      <c r="P38" s="193"/>
      <c r="Q38" s="226"/>
      <c r="R38" s="226"/>
      <c r="S38" s="228">
        <f>S37</f>
        <v>6.3315992000000003</v>
      </c>
      <c r="T38" s="228">
        <f t="shared" ref="T38:U38" si="25">T37</f>
        <v>9.915443999999999</v>
      </c>
      <c r="U38" s="186">
        <f t="shared" si="25"/>
        <v>3.5838447999999996</v>
      </c>
      <c r="V38" s="319">
        <f>T38/S38</f>
        <v>1.5660252152410403</v>
      </c>
      <c r="X38" s="2">
        <f>N38/4</f>
        <v>0.58687619999999985</v>
      </c>
      <c r="Y38" s="2">
        <f>U38/4</f>
        <v>0.8959611999999999</v>
      </c>
    </row>
    <row r="39" spans="1:25" ht="24.75" customHeight="1" x14ac:dyDescent="0.25">
      <c r="A39" s="156" t="s">
        <v>45</v>
      </c>
      <c r="B39" s="527" t="s">
        <v>95</v>
      </c>
      <c r="C39" s="527"/>
      <c r="E39" s="527" t="s">
        <v>98</v>
      </c>
      <c r="F39" s="527"/>
      <c r="K39" s="533" t="s">
        <v>98</v>
      </c>
      <c r="L39" s="534"/>
      <c r="M39" s="534"/>
    </row>
    <row r="41" spans="1:25" hidden="1" x14ac:dyDescent="0.25">
      <c r="B41" s="252" t="s">
        <v>89</v>
      </c>
      <c r="C41" s="253"/>
    </row>
    <row r="42" spans="1:25" hidden="1" x14ac:dyDescent="0.25">
      <c r="B42" t="s">
        <v>86</v>
      </c>
      <c r="C42" t="s">
        <v>88</v>
      </c>
      <c r="N42" s="2">
        <f>N5+N11</f>
        <v>-1.5794280000000005</v>
      </c>
      <c r="U42" s="2">
        <f>U5+U7+U11</f>
        <v>4.7988055000000003</v>
      </c>
    </row>
    <row r="43" spans="1:25" hidden="1" x14ac:dyDescent="0.25">
      <c r="B43" t="s">
        <v>12</v>
      </c>
      <c r="C43" t="s">
        <v>88</v>
      </c>
      <c r="N43" s="2">
        <f>N17+N22</f>
        <v>-1.6942935000000006</v>
      </c>
      <c r="U43" s="2">
        <f>U17+U18+U22</f>
        <v>2.202828499999999</v>
      </c>
    </row>
    <row r="44" spans="1:25" hidden="1" x14ac:dyDescent="0.25">
      <c r="B44" t="s">
        <v>13</v>
      </c>
      <c r="C44" t="s">
        <v>88</v>
      </c>
      <c r="N44" s="2">
        <f>N33</f>
        <v>0.29696400000000001</v>
      </c>
      <c r="U44" s="2">
        <f>U33+U34</f>
        <v>1.533304</v>
      </c>
    </row>
    <row r="45" spans="1:25" hidden="1" x14ac:dyDescent="0.25">
      <c r="B45" s="73" t="s">
        <v>87</v>
      </c>
      <c r="N45" s="251">
        <f>AVERAGE(N42:N44)</f>
        <v>-0.99225250000000031</v>
      </c>
      <c r="U45" s="251">
        <f>AVERAGE(U42:U44)</f>
        <v>2.8449793333333329</v>
      </c>
    </row>
    <row r="46" spans="1:25" hidden="1" x14ac:dyDescent="0.25"/>
    <row r="47" spans="1:25" hidden="1" x14ac:dyDescent="0.25">
      <c r="B47" s="252" t="s">
        <v>90</v>
      </c>
      <c r="C47" s="252"/>
      <c r="N47" s="2"/>
    </row>
    <row r="48" spans="1:25" hidden="1" x14ac:dyDescent="0.25">
      <c r="B48" t="s">
        <v>86</v>
      </c>
      <c r="C48" t="s">
        <v>8</v>
      </c>
      <c r="N48" s="2">
        <f>(N8+N12)/4</f>
        <v>0.62206950000000039</v>
      </c>
    </row>
    <row r="49" spans="2:14" hidden="1" x14ac:dyDescent="0.25">
      <c r="B49" t="s">
        <v>12</v>
      </c>
      <c r="C49" t="s">
        <v>8</v>
      </c>
      <c r="N49" s="2">
        <f>(N19+N23)/4</f>
        <v>0.75106050000000002</v>
      </c>
    </row>
    <row r="50" spans="2:14" hidden="1" x14ac:dyDescent="0.25">
      <c r="B50" t="s">
        <v>13</v>
      </c>
      <c r="C50" t="s">
        <v>8</v>
      </c>
      <c r="F50" s="179"/>
      <c r="H50" s="179"/>
      <c r="N50" s="2">
        <f>N35/4</f>
        <v>0.51263519999999985</v>
      </c>
    </row>
    <row r="51" spans="2:14" hidden="1" x14ac:dyDescent="0.25">
      <c r="B51" s="73" t="s">
        <v>87</v>
      </c>
      <c r="F51" s="179"/>
      <c r="H51" s="179"/>
      <c r="N51" s="251">
        <f>AVERAGE(N48:N50)</f>
        <v>0.62858840000000005</v>
      </c>
    </row>
    <row r="52" spans="2:14" hidden="1" x14ac:dyDescent="0.25">
      <c r="E52" s="2"/>
      <c r="F52" s="179"/>
      <c r="G52" s="2"/>
      <c r="H52" s="179"/>
      <c r="I52" s="2"/>
      <c r="J52" s="2"/>
      <c r="N52" s="2"/>
    </row>
    <row r="53" spans="2:14" ht="24" hidden="1" customHeight="1" x14ac:dyDescent="0.25">
      <c r="B53" s="531" t="s">
        <v>100</v>
      </c>
      <c r="C53" s="532"/>
      <c r="F53" s="179"/>
      <c r="H53" s="328"/>
    </row>
    <row r="54" spans="2:14" hidden="1" x14ac:dyDescent="0.25">
      <c r="F54" s="179"/>
      <c r="H54" s="328"/>
    </row>
    <row r="55" spans="2:14" x14ac:dyDescent="0.25">
      <c r="F55" s="179"/>
      <c r="H55" s="179"/>
      <c r="N55" s="2"/>
    </row>
    <row r="56" spans="2:14" x14ac:dyDescent="0.25">
      <c r="F56" s="179"/>
      <c r="H56" s="179"/>
    </row>
    <row r="57" spans="2:14" x14ac:dyDescent="0.25">
      <c r="F57" s="179"/>
      <c r="H57" s="179"/>
    </row>
    <row r="58" spans="2:14" x14ac:dyDescent="0.25">
      <c r="F58" s="179"/>
      <c r="H58" s="179"/>
    </row>
    <row r="59" spans="2:14" x14ac:dyDescent="0.25">
      <c r="F59" s="179"/>
      <c r="H59" s="179"/>
    </row>
    <row r="60" spans="2:14" x14ac:dyDescent="0.25">
      <c r="F60" s="179"/>
      <c r="H60" s="179"/>
    </row>
    <row r="61" spans="2:14" x14ac:dyDescent="0.25">
      <c r="F61" s="179"/>
      <c r="H61" s="179"/>
    </row>
    <row r="62" spans="2:14" x14ac:dyDescent="0.25">
      <c r="F62" s="179"/>
      <c r="H62" s="179"/>
    </row>
    <row r="63" spans="2:14" x14ac:dyDescent="0.25">
      <c r="F63" s="179"/>
      <c r="H63" s="179"/>
    </row>
    <row r="64" spans="2:14" x14ac:dyDescent="0.25">
      <c r="F64" s="179"/>
      <c r="H64" s="179"/>
    </row>
    <row r="65" spans="6:8" x14ac:dyDescent="0.25">
      <c r="F65" s="179"/>
      <c r="H65" s="179"/>
    </row>
    <row r="66" spans="6:8" x14ac:dyDescent="0.25">
      <c r="F66" s="179"/>
      <c r="H66" s="179"/>
    </row>
    <row r="67" spans="6:8" x14ac:dyDescent="0.25">
      <c r="F67" s="179"/>
      <c r="H67" s="179"/>
    </row>
    <row r="68" spans="6:8" x14ac:dyDescent="0.25">
      <c r="F68" s="179"/>
      <c r="H68" s="179"/>
    </row>
    <row r="69" spans="6:8" x14ac:dyDescent="0.25">
      <c r="F69" s="179"/>
      <c r="H69" s="179"/>
    </row>
    <row r="70" spans="6:8" x14ac:dyDescent="0.25">
      <c r="F70" s="179"/>
      <c r="H70" s="179"/>
    </row>
    <row r="71" spans="6:8" x14ac:dyDescent="0.25">
      <c r="F71" s="179"/>
      <c r="H71" s="179"/>
    </row>
    <row r="72" spans="6:8" x14ac:dyDescent="0.25">
      <c r="F72" s="179"/>
      <c r="H72" s="179"/>
    </row>
    <row r="73" spans="6:8" x14ac:dyDescent="0.25">
      <c r="F73" s="179"/>
      <c r="H73" s="179"/>
    </row>
    <row r="74" spans="6:8" x14ac:dyDescent="0.25">
      <c r="F74" s="179"/>
      <c r="H74" s="179"/>
    </row>
    <row r="75" spans="6:8" x14ac:dyDescent="0.25">
      <c r="F75" s="179"/>
      <c r="H75" s="179"/>
    </row>
    <row r="76" spans="6:8" x14ac:dyDescent="0.25">
      <c r="F76" s="179"/>
      <c r="H76" s="179"/>
    </row>
    <row r="77" spans="6:8" x14ac:dyDescent="0.25">
      <c r="F77" s="179"/>
      <c r="H77" s="179"/>
    </row>
    <row r="78" spans="6:8" x14ac:dyDescent="0.25">
      <c r="F78" s="179"/>
      <c r="H78" s="179"/>
    </row>
    <row r="79" spans="6:8" x14ac:dyDescent="0.25">
      <c r="F79" s="179"/>
      <c r="H79" s="179"/>
    </row>
    <row r="80" spans="6:8" x14ac:dyDescent="0.25">
      <c r="F80" s="179"/>
      <c r="H80" s="179"/>
    </row>
    <row r="81" spans="6:8" x14ac:dyDescent="0.25">
      <c r="F81" s="179"/>
      <c r="H81" s="179"/>
    </row>
    <row r="82" spans="6:8" x14ac:dyDescent="0.25">
      <c r="F82" s="179"/>
      <c r="H82" s="179"/>
    </row>
    <row r="83" spans="6:8" x14ac:dyDescent="0.25">
      <c r="F83" s="179"/>
      <c r="H83" s="179"/>
    </row>
    <row r="84" spans="6:8" x14ac:dyDescent="0.25">
      <c r="F84" s="179"/>
      <c r="H84" s="179"/>
    </row>
    <row r="85" spans="6:8" x14ac:dyDescent="0.25">
      <c r="F85" s="179"/>
      <c r="H85" s="179"/>
    </row>
    <row r="86" spans="6:8" x14ac:dyDescent="0.25">
      <c r="F86" s="179"/>
      <c r="H86" s="179"/>
    </row>
    <row r="87" spans="6:8" x14ac:dyDescent="0.25">
      <c r="F87" s="179"/>
      <c r="H87" s="179"/>
    </row>
    <row r="88" spans="6:8" x14ac:dyDescent="0.25">
      <c r="F88" s="179"/>
      <c r="H88" s="179"/>
    </row>
    <row r="89" spans="6:8" x14ac:dyDescent="0.25">
      <c r="F89" s="179"/>
      <c r="H89" s="179"/>
    </row>
    <row r="90" spans="6:8" x14ac:dyDescent="0.25">
      <c r="F90" s="179"/>
      <c r="H90" s="179"/>
    </row>
    <row r="91" spans="6:8" x14ac:dyDescent="0.25">
      <c r="F91" s="179"/>
      <c r="H91" s="179"/>
    </row>
    <row r="92" spans="6:8" x14ac:dyDescent="0.25">
      <c r="F92" s="179"/>
      <c r="H92" s="179"/>
    </row>
    <row r="93" spans="6:8" x14ac:dyDescent="0.25">
      <c r="F93" s="179"/>
      <c r="H93" s="179"/>
    </row>
  </sheetData>
  <autoFilter ref="A4:Y39">
    <filterColumn colId="16" showButton="0"/>
  </autoFilter>
  <mergeCells count="24">
    <mergeCell ref="Q4:R4"/>
    <mergeCell ref="A3:C3"/>
    <mergeCell ref="E3:F3"/>
    <mergeCell ref="G3:H3"/>
    <mergeCell ref="K3:O3"/>
    <mergeCell ref="Q3:V3"/>
    <mergeCell ref="A33:A38"/>
    <mergeCell ref="B33:B37"/>
    <mergeCell ref="B38:D38"/>
    <mergeCell ref="A5:A16"/>
    <mergeCell ref="B5:B10"/>
    <mergeCell ref="B11:B15"/>
    <mergeCell ref="B16:D16"/>
    <mergeCell ref="A17:A32"/>
    <mergeCell ref="B17:B21"/>
    <mergeCell ref="B22:B25"/>
    <mergeCell ref="B27:B30"/>
    <mergeCell ref="B39:C39"/>
    <mergeCell ref="E39:F39"/>
    <mergeCell ref="K39:M39"/>
    <mergeCell ref="B53:C53"/>
    <mergeCell ref="E27:F29"/>
    <mergeCell ref="B31:C31"/>
    <mergeCell ref="B32:D32"/>
  </mergeCells>
  <pageMargins left="0.23622047244094491" right="0.23622047244094491" top="0.39370078740157483" bottom="0.27559055118110237" header="0.15748031496062992" footer="0.15748031496062992"/>
  <pageSetup paperSize="9" scale="55" fitToWidth="2" orientation="landscape" r:id="rId1"/>
  <headerFooter>
    <oddHeader>&amp;L&amp;G&amp;CPrimerjava prodajnih cen VOKA&amp;RPredlog 3- znižano Ra (-5 % nepos.,-10 % posr.), 
Prevalje = ista cena kot Ravne</oddHeader>
    <oddFooter>&amp;L                                                                                                          
Ravne na Koroškem, &amp;D&amp;CIzdelala: Andreja Jehart&amp;RStran &amp;P/&amp;N</oddFooter>
  </headerFooter>
  <colBreaks count="1" manualBreakCount="1">
    <brk id="10" max="1048575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Y93"/>
  <sheetViews>
    <sheetView workbookViewId="0"/>
  </sheetViews>
  <sheetFormatPr defaultRowHeight="15.75" outlineLevelRow="1" outlineLevelCol="1" x14ac:dyDescent="0.25"/>
  <cols>
    <col min="1" max="1" width="10.7109375" customWidth="1"/>
    <col min="2" max="2" width="17.5703125" customWidth="1"/>
    <col min="3" max="3" width="34" customWidth="1"/>
    <col min="4" max="4" width="10.28515625" customWidth="1"/>
    <col min="5" max="10" width="22.5703125" customWidth="1" outlineLevel="1"/>
    <col min="11" max="11" width="17.42578125" customWidth="1"/>
    <col min="12" max="13" width="14.42578125" customWidth="1"/>
    <col min="14" max="14" width="15.7109375" customWidth="1"/>
    <col min="15" max="15" width="18.7109375" customWidth="1"/>
    <col min="16" max="16" width="3.5703125" customWidth="1"/>
    <col min="17" max="17" width="12.7109375" customWidth="1"/>
    <col min="18" max="18" width="11.7109375" customWidth="1"/>
    <col min="19" max="21" width="14.42578125" customWidth="1"/>
    <col min="22" max="22" width="19" customWidth="1"/>
    <col min="24" max="25" width="0" hidden="1" customWidth="1"/>
  </cols>
  <sheetData>
    <row r="1" spans="1:25" ht="20.25" customHeight="1" x14ac:dyDescent="0.25">
      <c r="A1" s="248"/>
      <c r="B1" s="248"/>
      <c r="C1" s="248"/>
      <c r="G1" s="336" t="s">
        <v>103</v>
      </c>
      <c r="H1" s="335"/>
      <c r="I1" s="335"/>
    </row>
    <row r="2" spans="1:25" ht="19.5" customHeight="1" thickBot="1" x14ac:dyDescent="0.35">
      <c r="A2" s="124" t="s">
        <v>47</v>
      </c>
      <c r="D2" s="332"/>
      <c r="G2" s="253" t="s">
        <v>102</v>
      </c>
      <c r="I2" s="2"/>
      <c r="K2" s="250" t="s">
        <v>84</v>
      </c>
      <c r="L2" s="242">
        <v>3.8</v>
      </c>
      <c r="M2" s="249" t="s">
        <v>83</v>
      </c>
    </row>
    <row r="3" spans="1:25" s="174" customFormat="1" ht="27" customHeight="1" thickTop="1" x14ac:dyDescent="0.25">
      <c r="A3" s="545" t="s">
        <v>101</v>
      </c>
      <c r="B3" s="545"/>
      <c r="C3" s="545"/>
      <c r="E3" s="525" t="s">
        <v>49</v>
      </c>
      <c r="F3" s="526"/>
      <c r="G3" s="525" t="s">
        <v>76</v>
      </c>
      <c r="H3" s="526"/>
      <c r="I3" s="175"/>
      <c r="J3" s="176"/>
      <c r="K3" s="512" t="s">
        <v>69</v>
      </c>
      <c r="L3" s="513"/>
      <c r="M3" s="513"/>
      <c r="N3" s="513"/>
      <c r="O3" s="514"/>
      <c r="P3" s="327">
        <v>0.02</v>
      </c>
      <c r="Q3" s="512" t="s">
        <v>85</v>
      </c>
      <c r="R3" s="513"/>
      <c r="S3" s="513"/>
      <c r="T3" s="513"/>
      <c r="U3" s="513"/>
      <c r="V3" s="514"/>
    </row>
    <row r="4" spans="1:25" ht="49.5" customHeight="1" thickBot="1" x14ac:dyDescent="0.3">
      <c r="A4" s="166" t="s">
        <v>0</v>
      </c>
      <c r="B4" s="167" t="s">
        <v>1</v>
      </c>
      <c r="C4" s="167" t="s">
        <v>2</v>
      </c>
      <c r="D4" s="178" t="s">
        <v>3</v>
      </c>
      <c r="E4" s="49" t="s">
        <v>63</v>
      </c>
      <c r="F4" s="168" t="s">
        <v>64</v>
      </c>
      <c r="G4" s="49" t="s">
        <v>63</v>
      </c>
      <c r="H4" s="168" t="s">
        <v>64</v>
      </c>
      <c r="I4" s="50" t="s">
        <v>33</v>
      </c>
      <c r="J4" s="50" t="s">
        <v>50</v>
      </c>
      <c r="K4" s="245" t="s">
        <v>78</v>
      </c>
      <c r="L4" s="333" t="s">
        <v>79</v>
      </c>
      <c r="M4" s="333" t="s">
        <v>80</v>
      </c>
      <c r="N4" s="333" t="s">
        <v>81</v>
      </c>
      <c r="O4" s="334" t="s">
        <v>66</v>
      </c>
      <c r="Q4" s="530" t="s">
        <v>82</v>
      </c>
      <c r="R4" s="530"/>
      <c r="S4" s="333" t="s">
        <v>79</v>
      </c>
      <c r="T4" s="333" t="s">
        <v>80</v>
      </c>
      <c r="U4" s="333" t="s">
        <v>81</v>
      </c>
      <c r="V4" s="334" t="s">
        <v>66</v>
      </c>
    </row>
    <row r="5" spans="1:25" ht="27.75" hidden="1" customHeight="1" outlineLevel="1" x14ac:dyDescent="0.3">
      <c r="A5" s="464" t="s">
        <v>5</v>
      </c>
      <c r="B5" s="519" t="s">
        <v>6</v>
      </c>
      <c r="C5" s="143" t="s">
        <v>30</v>
      </c>
      <c r="D5" s="144" t="s">
        <v>7</v>
      </c>
      <c r="E5" s="145">
        <v>3.7061999999999999</v>
      </c>
      <c r="F5" s="146">
        <f>ROUND(E5,4)*1.095</f>
        <v>4.0582890000000003</v>
      </c>
      <c r="G5" s="147">
        <f>[2]VOKA_Omrežnina_predrač.2014_2!$P$12</f>
        <v>2.3874280765175477</v>
      </c>
      <c r="H5" s="146">
        <f>ROUND(G5,4)*1.095</f>
        <v>2.6142029999999998</v>
      </c>
      <c r="I5" s="148">
        <f>H5-F5</f>
        <v>-1.4440860000000004</v>
      </c>
      <c r="J5" s="149">
        <f>G5/E5</f>
        <v>0.64417140912998427</v>
      </c>
      <c r="K5" s="188">
        <v>1</v>
      </c>
      <c r="L5" s="190">
        <f>K5*F5</f>
        <v>4.0582890000000003</v>
      </c>
      <c r="M5" s="190">
        <f>K5*H5</f>
        <v>2.6142029999999998</v>
      </c>
      <c r="N5" s="190">
        <f>M5-L5</f>
        <v>-1.4440860000000004</v>
      </c>
      <c r="O5" s="192"/>
      <c r="P5" s="193"/>
      <c r="Q5" s="194" t="s">
        <v>73</v>
      </c>
      <c r="R5" s="188">
        <v>1</v>
      </c>
      <c r="S5" s="190">
        <v>0.83630000000000004</v>
      </c>
      <c r="T5" s="190">
        <f>R5*H5</f>
        <v>2.6142029999999998</v>
      </c>
      <c r="U5" s="190">
        <f>T5-S5</f>
        <v>1.7779029999999998</v>
      </c>
      <c r="V5" s="313"/>
    </row>
    <row r="6" spans="1:25" ht="27.75" hidden="1" customHeight="1" outlineLevel="1" x14ac:dyDescent="0.3">
      <c r="A6" s="464"/>
      <c r="B6" s="519"/>
      <c r="C6" s="143" t="s">
        <v>94</v>
      </c>
      <c r="D6" s="144" t="s">
        <v>7</v>
      </c>
      <c r="E6" s="145"/>
      <c r="F6" s="146"/>
      <c r="G6" s="147">
        <f>[2]VOKA_Omrežnina_predrač.2014_2!$AH$12</f>
        <v>-0.82101806239737274</v>
      </c>
      <c r="H6" s="146">
        <f>ROUND(G6,4)*1.095</f>
        <v>-0.89899499999999988</v>
      </c>
      <c r="I6" s="148">
        <f>H6-F6</f>
        <v>-0.89899499999999988</v>
      </c>
      <c r="J6" s="149"/>
      <c r="K6" s="188">
        <v>1</v>
      </c>
      <c r="L6" s="190"/>
      <c r="M6" s="190"/>
      <c r="N6" s="190"/>
      <c r="O6" s="192"/>
      <c r="P6" s="193"/>
      <c r="Q6" s="194"/>
      <c r="R6" s="188">
        <v>1</v>
      </c>
      <c r="S6" s="190"/>
      <c r="T6" s="190"/>
      <c r="U6" s="190"/>
      <c r="V6" s="313"/>
    </row>
    <row r="7" spans="1:25" ht="27.75" hidden="1" customHeight="1" outlineLevel="1" x14ac:dyDescent="0.3">
      <c r="A7" s="464"/>
      <c r="B7" s="519"/>
      <c r="C7" s="143" t="s">
        <v>77</v>
      </c>
      <c r="D7" s="144" t="s">
        <v>7</v>
      </c>
      <c r="E7" s="145"/>
      <c r="F7" s="146"/>
      <c r="G7" s="147">
        <f>[2]VOKA_Omrežnina_predrač.2014_2!$AD$12</f>
        <v>-0.83739505597014929</v>
      </c>
      <c r="H7" s="146">
        <f t="shared" ref="H7:H9" si="0">ROUND(G7,4)*1.095</f>
        <v>-0.91695300000000002</v>
      </c>
      <c r="I7" s="148">
        <f>H7-F7</f>
        <v>-0.91695300000000002</v>
      </c>
      <c r="J7" s="149"/>
      <c r="K7" s="239"/>
      <c r="L7" s="240"/>
      <c r="M7" s="240"/>
      <c r="N7" s="240"/>
      <c r="O7" s="241"/>
      <c r="P7" s="193"/>
      <c r="Q7" s="194"/>
      <c r="R7" s="188"/>
      <c r="S7" s="190"/>
      <c r="T7" s="190"/>
      <c r="U7" s="190"/>
      <c r="V7" s="313"/>
    </row>
    <row r="8" spans="1:25" ht="27.75" hidden="1" customHeight="1" outlineLevel="1" x14ac:dyDescent="0.3">
      <c r="A8" s="464"/>
      <c r="B8" s="519"/>
      <c r="C8" s="3" t="s">
        <v>8</v>
      </c>
      <c r="D8" s="76" t="s">
        <v>9</v>
      </c>
      <c r="E8" s="12">
        <v>0.29499999999999998</v>
      </c>
      <c r="F8" s="69">
        <f>ROUND(E8,4)*1.095</f>
        <v>0.32302499999999995</v>
      </c>
      <c r="G8" s="337">
        <v>0.41289999999999999</v>
      </c>
      <c r="H8" s="69">
        <f t="shared" si="0"/>
        <v>0.45212549999999996</v>
      </c>
      <c r="I8" s="64">
        <f t="shared" ref="I8:I36" si="1">H8-F8</f>
        <v>0.12910050000000001</v>
      </c>
      <c r="J8" s="113">
        <f t="shared" ref="J8:J36" si="2">G8/E8</f>
        <v>1.3996610169491526</v>
      </c>
      <c r="K8" s="195">
        <f>4*$L$2</f>
        <v>15.2</v>
      </c>
      <c r="L8" s="197">
        <f>K8*F8</f>
        <v>4.9099799999999991</v>
      </c>
      <c r="M8" s="197">
        <f>K8*H8</f>
        <v>6.8723075999999992</v>
      </c>
      <c r="N8" s="197">
        <f>M8-L8</f>
        <v>1.9623276000000001</v>
      </c>
      <c r="O8" s="199"/>
      <c r="P8" s="193"/>
      <c r="Q8" s="195">
        <f>4*$L$2</f>
        <v>15.2</v>
      </c>
      <c r="R8" s="195">
        <f>4*$L$2</f>
        <v>15.2</v>
      </c>
      <c r="S8" s="197">
        <f>Q8*F8</f>
        <v>4.9099799999999991</v>
      </c>
      <c r="T8" s="197">
        <f>R8*H8</f>
        <v>6.8723075999999992</v>
      </c>
      <c r="U8" s="197">
        <f>T8-S8</f>
        <v>1.9623276000000001</v>
      </c>
      <c r="V8" s="314"/>
      <c r="X8">
        <f>N8/4</f>
        <v>0.49058190000000002</v>
      </c>
    </row>
    <row r="9" spans="1:25" ht="27.75" hidden="1" customHeight="1" outlineLevel="1" x14ac:dyDescent="0.3">
      <c r="A9" s="464"/>
      <c r="B9" s="519"/>
      <c r="C9" s="4" t="s">
        <v>10</v>
      </c>
      <c r="D9" s="77" t="s">
        <v>9</v>
      </c>
      <c r="E9" s="9">
        <v>6.3799999999999996E-2</v>
      </c>
      <c r="F9" s="70">
        <f>ROUND(E9,4)*1.095</f>
        <v>6.9860999999999993E-2</v>
      </c>
      <c r="G9" s="60">
        <v>6.3799999999999996E-2</v>
      </c>
      <c r="H9" s="70">
        <f t="shared" si="0"/>
        <v>6.9860999999999993E-2</v>
      </c>
      <c r="I9" s="65">
        <f t="shared" si="1"/>
        <v>0</v>
      </c>
      <c r="J9" s="114">
        <f t="shared" si="2"/>
        <v>1</v>
      </c>
      <c r="K9" s="200">
        <f>4*$L$2</f>
        <v>15.2</v>
      </c>
      <c r="L9" s="202">
        <f>K9*F9</f>
        <v>1.0618871999999999</v>
      </c>
      <c r="M9" s="202">
        <f>K9*H9</f>
        <v>1.0618871999999999</v>
      </c>
      <c r="N9" s="202">
        <f>M9-L9</f>
        <v>0</v>
      </c>
      <c r="O9" s="204"/>
      <c r="P9" s="193"/>
      <c r="Q9" s="200">
        <f>4*$L$2</f>
        <v>15.2</v>
      </c>
      <c r="R9" s="200">
        <f>4*$L$2</f>
        <v>15.2</v>
      </c>
      <c r="S9" s="202">
        <f>Q9*F9</f>
        <v>1.0618871999999999</v>
      </c>
      <c r="T9" s="202">
        <f>R9*H9</f>
        <v>1.0618871999999999</v>
      </c>
      <c r="U9" s="202">
        <f>T9-S9</f>
        <v>0</v>
      </c>
      <c r="V9" s="315"/>
    </row>
    <row r="10" spans="1:25" ht="27.75" hidden="1" customHeight="1" outlineLevel="1" x14ac:dyDescent="0.3">
      <c r="A10" s="464"/>
      <c r="B10" s="520"/>
      <c r="C10" s="154" t="s">
        <v>60</v>
      </c>
      <c r="D10" s="139"/>
      <c r="E10" s="150"/>
      <c r="F10" s="140"/>
      <c r="G10" s="150"/>
      <c r="H10" s="140"/>
      <c r="I10" s="151"/>
      <c r="J10" s="163"/>
      <c r="K10" s="205"/>
      <c r="L10" s="207">
        <f>SUM(L5:L9)</f>
        <v>10.030156199999999</v>
      </c>
      <c r="M10" s="207">
        <f t="shared" ref="M10:N10" si="3">SUM(M5:M9)</f>
        <v>10.548397799999998</v>
      </c>
      <c r="N10" s="207">
        <f t="shared" si="3"/>
        <v>0.51824159999999964</v>
      </c>
      <c r="O10" s="254">
        <f t="shared" ref="O10" si="4">M10/L10</f>
        <v>1.0516683478967157</v>
      </c>
      <c r="P10" s="193"/>
      <c r="Q10" s="205"/>
      <c r="R10" s="205"/>
      <c r="S10" s="207">
        <f>SUM(S5:S9)</f>
        <v>6.8081671999999989</v>
      </c>
      <c r="T10" s="207">
        <f t="shared" ref="T10:U10" si="5">SUM(T5:T9)</f>
        <v>10.548397799999998</v>
      </c>
      <c r="U10" s="207">
        <f t="shared" si="5"/>
        <v>3.7402305999999998</v>
      </c>
      <c r="V10" s="316">
        <f t="shared" ref="V10" si="6">T10/S10</f>
        <v>1.5493740811770897</v>
      </c>
    </row>
    <row r="11" spans="1:25" ht="27.75" hidden="1" customHeight="1" outlineLevel="1" x14ac:dyDescent="0.3">
      <c r="A11" s="464"/>
      <c r="B11" s="521" t="s">
        <v>11</v>
      </c>
      <c r="C11" s="143" t="s">
        <v>30</v>
      </c>
      <c r="D11" s="144" t="s">
        <v>7</v>
      </c>
      <c r="E11" s="145">
        <v>3.6331000000000002</v>
      </c>
      <c r="F11" s="146">
        <f t="shared" ref="F11:F14" si="7">ROUND(E11,4)*1.095</f>
        <v>3.9782445000000002</v>
      </c>
      <c r="G11" s="147">
        <f>[2]VOKA_Omrežnina_predrač.2014_2!$Q$12</f>
        <v>3.5094837324898331</v>
      </c>
      <c r="H11" s="146">
        <f t="shared" ref="H11:H14" si="8">ROUND(G11,4)*1.095</f>
        <v>3.8429025000000001</v>
      </c>
      <c r="I11" s="148">
        <f t="shared" si="1"/>
        <v>-0.13534200000000007</v>
      </c>
      <c r="J11" s="149">
        <f t="shared" si="2"/>
        <v>0.96597498898732015</v>
      </c>
      <c r="K11" s="188">
        <v>1</v>
      </c>
      <c r="L11" s="190">
        <f>K11*F11</f>
        <v>3.9782445000000002</v>
      </c>
      <c r="M11" s="190">
        <f>K11*H11</f>
        <v>3.8429025000000001</v>
      </c>
      <c r="N11" s="190">
        <f>M11-L11</f>
        <v>-0.13534200000000007</v>
      </c>
      <c r="O11" s="192"/>
      <c r="P11" s="193"/>
      <c r="Q11" s="194" t="s">
        <v>73</v>
      </c>
      <c r="R11" s="188">
        <v>1</v>
      </c>
      <c r="S11" s="190">
        <v>0.82199999999999995</v>
      </c>
      <c r="T11" s="190">
        <f>R11*H11</f>
        <v>3.8429025000000001</v>
      </c>
      <c r="U11" s="190">
        <f>T11-S11</f>
        <v>3.0209025</v>
      </c>
      <c r="V11" s="313"/>
    </row>
    <row r="12" spans="1:25" ht="27.75" hidden="1" customHeight="1" outlineLevel="1" x14ac:dyDescent="0.3">
      <c r="A12" s="464"/>
      <c r="B12" s="522"/>
      <c r="C12" s="3" t="s">
        <v>8</v>
      </c>
      <c r="D12" s="76" t="s">
        <v>9</v>
      </c>
      <c r="E12" s="12">
        <v>0.21279999999999999</v>
      </c>
      <c r="F12" s="69">
        <f t="shared" si="7"/>
        <v>0.23301599999999997</v>
      </c>
      <c r="G12" s="247">
        <f>'[2]VOKA_Predr. obdobje plan 2014'!$AW$72</f>
        <v>0.28974110730242286</v>
      </c>
      <c r="H12" s="69">
        <f t="shared" si="8"/>
        <v>0.31722149999999999</v>
      </c>
      <c r="I12" s="64">
        <f t="shared" si="1"/>
        <v>8.4205500000000016E-2</v>
      </c>
      <c r="J12" s="113">
        <f t="shared" si="2"/>
        <v>1.3615653538647692</v>
      </c>
      <c r="K12" s="195">
        <f>4*$L$2</f>
        <v>15.2</v>
      </c>
      <c r="L12" s="197">
        <f>K12*F12</f>
        <v>3.5418431999999993</v>
      </c>
      <c r="M12" s="197">
        <f>K12*H12</f>
        <v>4.8217667999999998</v>
      </c>
      <c r="N12" s="197">
        <f>M12-L12</f>
        <v>1.2799236000000005</v>
      </c>
      <c r="O12" s="199"/>
      <c r="P12" s="193"/>
      <c r="Q12" s="195">
        <f>4*$L$2</f>
        <v>15.2</v>
      </c>
      <c r="R12" s="195">
        <f>4*$L$2</f>
        <v>15.2</v>
      </c>
      <c r="S12" s="197">
        <f>Q12*F12</f>
        <v>3.5418431999999993</v>
      </c>
      <c r="T12" s="197">
        <f>R12*H12</f>
        <v>4.8217667999999998</v>
      </c>
      <c r="U12" s="197">
        <f>T12-S12</f>
        <v>1.2799236000000005</v>
      </c>
      <c r="V12" s="314"/>
      <c r="X12">
        <f>N12/4</f>
        <v>0.31998090000000012</v>
      </c>
    </row>
    <row r="13" spans="1:25" ht="27.75" hidden="1" customHeight="1" outlineLevel="1" x14ac:dyDescent="0.3">
      <c r="A13" s="464"/>
      <c r="B13" s="522"/>
      <c r="C13" s="3" t="s">
        <v>42</v>
      </c>
      <c r="D13" s="76" t="s">
        <v>9</v>
      </c>
      <c r="E13" s="12">
        <v>0.52829999999999999</v>
      </c>
      <c r="F13" s="69">
        <f>ROUND(E13,4)*1</f>
        <v>0.52829999999999999</v>
      </c>
      <c r="G13" s="59">
        <v>0.52829999999999999</v>
      </c>
      <c r="H13" s="69">
        <f>ROUND(G13,4)*1</f>
        <v>0.52829999999999999</v>
      </c>
      <c r="I13" s="64">
        <f t="shared" si="1"/>
        <v>0</v>
      </c>
      <c r="J13" s="113">
        <f t="shared" si="2"/>
        <v>1</v>
      </c>
      <c r="K13" s="195">
        <f>4*$L$2</f>
        <v>15.2</v>
      </c>
      <c r="L13" s="197">
        <f>K13*F13</f>
        <v>8.0301599999999986</v>
      </c>
      <c r="M13" s="197">
        <f>K13*H13</f>
        <v>8.0301599999999986</v>
      </c>
      <c r="N13" s="197">
        <f>M13-L13</f>
        <v>0</v>
      </c>
      <c r="O13" s="199"/>
      <c r="P13" s="193"/>
      <c r="Q13" s="195">
        <f>4*$L$2</f>
        <v>15.2</v>
      </c>
      <c r="R13" s="195">
        <f>4*$L$2</f>
        <v>15.2</v>
      </c>
      <c r="S13" s="197">
        <f>Q13*F13</f>
        <v>8.0301599999999986</v>
      </c>
      <c r="T13" s="197">
        <f>R13*H13</f>
        <v>8.0301599999999986</v>
      </c>
      <c r="U13" s="197">
        <f>T13-S13</f>
        <v>0</v>
      </c>
      <c r="V13" s="314"/>
    </row>
    <row r="14" spans="1:25" ht="27.75" hidden="1" customHeight="1" outlineLevel="1" x14ac:dyDescent="0.3">
      <c r="A14" s="464"/>
      <c r="B14" s="523"/>
      <c r="C14" s="180" t="s">
        <v>75</v>
      </c>
      <c r="D14" s="76" t="s">
        <v>9</v>
      </c>
      <c r="E14" s="181">
        <v>48.2</v>
      </c>
      <c r="F14" s="185">
        <f t="shared" si="7"/>
        <v>52.779000000000003</v>
      </c>
      <c r="G14" s="182">
        <v>49.392000000000003</v>
      </c>
      <c r="H14" s="185">
        <f t="shared" si="8"/>
        <v>54.084240000000001</v>
      </c>
      <c r="I14" s="183">
        <f t="shared" si="1"/>
        <v>1.3052399999999977</v>
      </c>
      <c r="J14" s="184">
        <f t="shared" si="2"/>
        <v>1.0247302904564315</v>
      </c>
      <c r="K14" s="210"/>
      <c r="L14" s="212"/>
      <c r="M14" s="212"/>
      <c r="N14" s="214"/>
      <c r="O14" s="216"/>
      <c r="P14" s="193"/>
      <c r="Q14" s="210"/>
      <c r="R14" s="210"/>
      <c r="S14" s="212"/>
      <c r="T14" s="212"/>
      <c r="U14" s="212"/>
      <c r="V14" s="317"/>
    </row>
    <row r="15" spans="1:25" ht="27.75" hidden="1" customHeight="1" outlineLevel="1" x14ac:dyDescent="0.3">
      <c r="A15" s="464"/>
      <c r="B15" s="524"/>
      <c r="C15" s="155" t="s">
        <v>61</v>
      </c>
      <c r="D15" s="141"/>
      <c r="E15" s="152"/>
      <c r="F15" s="142"/>
      <c r="G15" s="152"/>
      <c r="H15" s="142"/>
      <c r="I15" s="153"/>
      <c r="J15" s="164"/>
      <c r="K15" s="219"/>
      <c r="L15" s="223">
        <f>SUM(L11:L13)</f>
        <v>15.550247699999998</v>
      </c>
      <c r="M15" s="223">
        <f t="shared" ref="M15:N15" si="9">SUM(M11:M13)</f>
        <v>16.694829299999999</v>
      </c>
      <c r="N15" s="223">
        <f t="shared" si="9"/>
        <v>1.1445816000000004</v>
      </c>
      <c r="O15" s="312">
        <f>M15/L15</f>
        <v>1.0736053612830876</v>
      </c>
      <c r="P15" s="193"/>
      <c r="Q15" s="219"/>
      <c r="R15" s="219"/>
      <c r="S15" s="223">
        <f>SUM(S11:S13)</f>
        <v>12.394003199999997</v>
      </c>
      <c r="T15" s="223">
        <f t="shared" ref="T15:U15" si="10">SUM(T11:T13)</f>
        <v>16.694829299999999</v>
      </c>
      <c r="U15" s="223">
        <f t="shared" si="10"/>
        <v>4.3008261000000001</v>
      </c>
      <c r="V15" s="318">
        <f>T15/S15-P3</f>
        <v>1.3270086323682733</v>
      </c>
    </row>
    <row r="16" spans="1:25" ht="27.75" hidden="1" customHeight="1" collapsed="1" thickBot="1" x14ac:dyDescent="0.35">
      <c r="A16" s="465"/>
      <c r="B16" s="515" t="s">
        <v>62</v>
      </c>
      <c r="C16" s="516"/>
      <c r="D16" s="517"/>
      <c r="E16" s="157"/>
      <c r="F16" s="158"/>
      <c r="G16" s="159"/>
      <c r="H16" s="158"/>
      <c r="I16" s="160"/>
      <c r="J16" s="165"/>
      <c r="K16" s="226"/>
      <c r="L16" s="228">
        <f>L10+L15</f>
        <v>25.580403899999997</v>
      </c>
      <c r="M16" s="228">
        <f t="shared" ref="M16:N16" si="11">M10+M15</f>
        <v>27.243227099999999</v>
      </c>
      <c r="N16" s="186">
        <f t="shared" si="11"/>
        <v>1.6628232000000001</v>
      </c>
      <c r="O16" s="230">
        <f>M16/L16</f>
        <v>1.065003789873701</v>
      </c>
      <c r="P16" s="193"/>
      <c r="Q16" s="226"/>
      <c r="R16" s="226"/>
      <c r="S16" s="228">
        <f>S10+S15</f>
        <v>19.202170399999996</v>
      </c>
      <c r="T16" s="228">
        <f t="shared" ref="T16:U16" si="12">T10+T15</f>
        <v>27.243227099999999</v>
      </c>
      <c r="U16" s="186">
        <f t="shared" si="12"/>
        <v>8.0410567000000004</v>
      </c>
      <c r="V16" s="319">
        <f>T16/S16-P3</f>
        <v>1.398757699390065</v>
      </c>
      <c r="X16" s="2">
        <f>N16/4</f>
        <v>0.41570580000000001</v>
      </c>
      <c r="Y16" s="2">
        <f>U16/4</f>
        <v>2.0102641750000001</v>
      </c>
    </row>
    <row r="17" spans="1:25" ht="27.75" customHeight="1" outlineLevel="1" x14ac:dyDescent="0.3">
      <c r="A17" s="463" t="s">
        <v>12</v>
      </c>
      <c r="B17" s="518" t="s">
        <v>6</v>
      </c>
      <c r="C17" s="132" t="s">
        <v>30</v>
      </c>
      <c r="D17" s="133" t="s">
        <v>7</v>
      </c>
      <c r="E17" s="134">
        <v>3.2275</v>
      </c>
      <c r="F17" s="135">
        <f>ROUND(E17,4)*1.095</f>
        <v>3.5341125</v>
      </c>
      <c r="G17" s="136">
        <f>[2]VOKA_Omrežnina_predrač.2014_2!$P$23</f>
        <v>2.0541620450606586</v>
      </c>
      <c r="H17" s="135">
        <f t="shared" ref="H17:H20" si="13">ROUND(G17,4)*1.095</f>
        <v>2.2493489999999996</v>
      </c>
      <c r="I17" s="137">
        <f t="shared" si="1"/>
        <v>-1.2847635000000004</v>
      </c>
      <c r="J17" s="138">
        <f t="shared" si="2"/>
        <v>0.63645609451918161</v>
      </c>
      <c r="K17" s="231">
        <v>1</v>
      </c>
      <c r="L17" s="233">
        <f>K17*F17</f>
        <v>3.5341125</v>
      </c>
      <c r="M17" s="233">
        <f>K17*H17</f>
        <v>2.2493489999999996</v>
      </c>
      <c r="N17" s="233">
        <f>M17-L17</f>
        <v>-1.2847635000000004</v>
      </c>
      <c r="O17" s="235"/>
      <c r="P17" s="193"/>
      <c r="Q17" s="236" t="s">
        <v>73</v>
      </c>
      <c r="R17" s="231">
        <v>1</v>
      </c>
      <c r="S17" s="233">
        <v>1.0134000000000001</v>
      </c>
      <c r="T17" s="233">
        <f>R17*H17</f>
        <v>2.2493489999999996</v>
      </c>
      <c r="U17" s="233">
        <f>T17-S17</f>
        <v>1.2359489999999995</v>
      </c>
      <c r="V17" s="320"/>
    </row>
    <row r="18" spans="1:25" ht="27.75" customHeight="1" outlineLevel="1" x14ac:dyDescent="0.3">
      <c r="A18" s="464"/>
      <c r="B18" s="519"/>
      <c r="C18" s="143" t="s">
        <v>77</v>
      </c>
      <c r="D18" s="144" t="s">
        <v>7</v>
      </c>
      <c r="E18" s="145"/>
      <c r="F18" s="146"/>
      <c r="G18" s="147">
        <f>[2]VOKA_Omrežnina_predrač.2014_2!$AD$23</f>
        <v>-0.83739505597014929</v>
      </c>
      <c r="H18" s="146">
        <f t="shared" si="13"/>
        <v>-0.91695300000000002</v>
      </c>
      <c r="I18" s="148">
        <f>H18-F18</f>
        <v>-0.91695300000000002</v>
      </c>
      <c r="J18" s="149"/>
      <c r="K18" s="239"/>
      <c r="L18" s="240"/>
      <c r="M18" s="240"/>
      <c r="N18" s="240"/>
      <c r="O18" s="241"/>
      <c r="P18" s="193"/>
      <c r="Q18" s="194"/>
      <c r="R18" s="188">
        <v>1</v>
      </c>
      <c r="S18" s="190"/>
      <c r="T18" s="190">
        <f>R18*H18</f>
        <v>-0.91695300000000002</v>
      </c>
      <c r="U18" s="190">
        <f>T18-S18</f>
        <v>-0.91695300000000002</v>
      </c>
      <c r="V18" s="313"/>
    </row>
    <row r="19" spans="1:25" ht="27.75" customHeight="1" outlineLevel="1" x14ac:dyDescent="0.3">
      <c r="A19" s="464"/>
      <c r="B19" s="519"/>
      <c r="C19" s="3" t="s">
        <v>8</v>
      </c>
      <c r="D19" s="76" t="s">
        <v>9</v>
      </c>
      <c r="E19" s="12">
        <v>0.26219999999999999</v>
      </c>
      <c r="F19" s="69">
        <f>ROUND(E19,4)*1.095</f>
        <v>0.287109</v>
      </c>
      <c r="G19" s="246">
        <v>0.34089999999999998</v>
      </c>
      <c r="H19" s="69">
        <f>ROUND(G19,4)*1.095</f>
        <v>0.37328549999999999</v>
      </c>
      <c r="I19" s="64">
        <f t="shared" si="1"/>
        <v>8.6176499999999989E-2</v>
      </c>
      <c r="J19" s="113">
        <f t="shared" si="2"/>
        <v>1.3001525553012967</v>
      </c>
      <c r="K19" s="195">
        <f>4*$L$2</f>
        <v>15.2</v>
      </c>
      <c r="L19" s="197">
        <f>K19*F19</f>
        <v>4.3640568000000002</v>
      </c>
      <c r="M19" s="197">
        <f>K19*H19</f>
        <v>5.6739395999999997</v>
      </c>
      <c r="N19" s="197">
        <f>M19-L19</f>
        <v>1.3098827999999996</v>
      </c>
      <c r="O19" s="199"/>
      <c r="P19" s="193"/>
      <c r="Q19" s="195">
        <f>4*$L$2</f>
        <v>15.2</v>
      </c>
      <c r="R19" s="195">
        <f>4*$L$2</f>
        <v>15.2</v>
      </c>
      <c r="S19" s="197">
        <f>Q19*F19</f>
        <v>4.3640568000000002</v>
      </c>
      <c r="T19" s="197">
        <f>R19*H19</f>
        <v>5.6739395999999997</v>
      </c>
      <c r="U19" s="197">
        <f>T19-S19</f>
        <v>1.3098827999999996</v>
      </c>
      <c r="V19" s="314"/>
      <c r="X19">
        <f>N19/4</f>
        <v>0.32747069999999989</v>
      </c>
    </row>
    <row r="20" spans="1:25" ht="27.75" customHeight="1" outlineLevel="1" x14ac:dyDescent="0.3">
      <c r="A20" s="464"/>
      <c r="B20" s="519"/>
      <c r="C20" s="4" t="s">
        <v>10</v>
      </c>
      <c r="D20" s="77" t="s">
        <v>9</v>
      </c>
      <c r="E20" s="9">
        <v>6.3799999999999996E-2</v>
      </c>
      <c r="F20" s="70">
        <f>ROUND(E20,4)*1.095</f>
        <v>6.9860999999999993E-2</v>
      </c>
      <c r="G20" s="60">
        <v>6.3799999999999996E-2</v>
      </c>
      <c r="H20" s="70">
        <f t="shared" si="13"/>
        <v>6.9860999999999993E-2</v>
      </c>
      <c r="I20" s="65">
        <f t="shared" si="1"/>
        <v>0</v>
      </c>
      <c r="J20" s="114">
        <f t="shared" si="2"/>
        <v>1</v>
      </c>
      <c r="K20" s="200">
        <f>4*$L$2</f>
        <v>15.2</v>
      </c>
      <c r="L20" s="202">
        <f>K20*F20</f>
        <v>1.0618871999999999</v>
      </c>
      <c r="M20" s="202">
        <f>K20*H20</f>
        <v>1.0618871999999999</v>
      </c>
      <c r="N20" s="202">
        <f>M20-L20</f>
        <v>0</v>
      </c>
      <c r="O20" s="204"/>
      <c r="P20" s="193"/>
      <c r="Q20" s="200">
        <f>4*$L$2</f>
        <v>15.2</v>
      </c>
      <c r="R20" s="200">
        <f>4*$L$2</f>
        <v>15.2</v>
      </c>
      <c r="S20" s="202">
        <f>Q20*F20</f>
        <v>1.0618871999999999</v>
      </c>
      <c r="T20" s="202">
        <f>R20*H20</f>
        <v>1.0618871999999999</v>
      </c>
      <c r="U20" s="202">
        <f>T20-S20</f>
        <v>0</v>
      </c>
      <c r="V20" s="315"/>
    </row>
    <row r="21" spans="1:25" ht="27.75" customHeight="1" outlineLevel="1" thickBot="1" x14ac:dyDescent="0.35">
      <c r="A21" s="464"/>
      <c r="B21" s="520"/>
      <c r="C21" s="154" t="s">
        <v>60</v>
      </c>
      <c r="D21" s="139"/>
      <c r="E21" s="150"/>
      <c r="F21" s="140"/>
      <c r="G21" s="150"/>
      <c r="H21" s="140"/>
      <c r="I21" s="151"/>
      <c r="J21" s="163"/>
      <c r="K21" s="205"/>
      <c r="L21" s="207">
        <f>SUM(L17:L20)</f>
        <v>8.9600565000000003</v>
      </c>
      <c r="M21" s="207">
        <f t="shared" ref="M21:N21" si="14">SUM(M17:M20)</f>
        <v>8.9851757999999986</v>
      </c>
      <c r="N21" s="207">
        <f t="shared" si="14"/>
        <v>2.5119299999999178E-2</v>
      </c>
      <c r="O21" s="254">
        <f t="shared" ref="O21" si="15">M21/L21</f>
        <v>1.0028034756254047</v>
      </c>
      <c r="P21" s="193"/>
      <c r="Q21" s="205"/>
      <c r="R21" s="205"/>
      <c r="S21" s="207">
        <f>SUM(S17:S20)</f>
        <v>6.4393440000000002</v>
      </c>
      <c r="T21" s="207">
        <f t="shared" ref="T21:U21" si="16">SUM(T17:T20)</f>
        <v>8.0682227999999991</v>
      </c>
      <c r="U21" s="207">
        <f t="shared" si="16"/>
        <v>1.628878799999999</v>
      </c>
      <c r="V21" s="316">
        <f t="shared" ref="V21" si="17">T21/S21</f>
        <v>1.2529572577579329</v>
      </c>
    </row>
    <row r="22" spans="1:25" ht="27.75" customHeight="1" outlineLevel="1" x14ac:dyDescent="0.3">
      <c r="A22" s="464"/>
      <c r="B22" s="521" t="s">
        <v>11</v>
      </c>
      <c r="C22" s="143" t="s">
        <v>30</v>
      </c>
      <c r="D22" s="144" t="s">
        <v>7</v>
      </c>
      <c r="E22" s="145">
        <v>2.9375</v>
      </c>
      <c r="F22" s="146">
        <f>ROUND(E22,4)*1.095</f>
        <v>3.2165624999999998</v>
      </c>
      <c r="G22" s="147">
        <f>[2]VOKA_Omrežnina_predrač.2014_2!$Q$23</f>
        <v>2.5634939341421146</v>
      </c>
      <c r="H22" s="146">
        <f t="shared" ref="H22:H29" si="18">ROUND(G22,4)*1.095</f>
        <v>2.8070324999999996</v>
      </c>
      <c r="I22" s="148">
        <f t="shared" si="1"/>
        <v>-0.40953000000000017</v>
      </c>
      <c r="J22" s="149">
        <f t="shared" si="2"/>
        <v>0.87267878609093263</v>
      </c>
      <c r="K22" s="188">
        <v>1</v>
      </c>
      <c r="L22" s="190">
        <f>K22*F22</f>
        <v>3.2165624999999998</v>
      </c>
      <c r="M22" s="190">
        <f>K22*H22</f>
        <v>2.8070324999999996</v>
      </c>
      <c r="N22" s="190">
        <f>M22-L22</f>
        <v>-0.40953000000000017</v>
      </c>
      <c r="O22" s="192"/>
      <c r="P22" s="193"/>
      <c r="Q22" s="236" t="s">
        <v>73</v>
      </c>
      <c r="R22" s="188">
        <v>1</v>
      </c>
      <c r="S22" s="190">
        <v>0.92320000000000002</v>
      </c>
      <c r="T22" s="190">
        <f>R22*H22</f>
        <v>2.8070324999999996</v>
      </c>
      <c r="U22" s="190">
        <f>T22-S22</f>
        <v>1.8838324999999996</v>
      </c>
      <c r="V22" s="313"/>
    </row>
    <row r="23" spans="1:25" ht="27.75" customHeight="1" outlineLevel="1" x14ac:dyDescent="0.3">
      <c r="A23" s="464"/>
      <c r="B23" s="522"/>
      <c r="C23" s="3" t="s">
        <v>8</v>
      </c>
      <c r="D23" s="76" t="s">
        <v>9</v>
      </c>
      <c r="E23" s="12">
        <v>0.21460000000000001</v>
      </c>
      <c r="F23" s="69">
        <f>ROUND(E23,4)*1.095</f>
        <v>0.234987</v>
      </c>
      <c r="G23" s="247">
        <v>0.24340000000000001</v>
      </c>
      <c r="H23" s="69">
        <f t="shared" si="18"/>
        <v>0.26652300000000001</v>
      </c>
      <c r="I23" s="64">
        <f t="shared" si="1"/>
        <v>3.1536000000000008E-2</v>
      </c>
      <c r="J23" s="113">
        <f t="shared" si="2"/>
        <v>1.1342031686859273</v>
      </c>
      <c r="K23" s="195">
        <f>4*$L$2</f>
        <v>15.2</v>
      </c>
      <c r="L23" s="197">
        <f>K23*F23</f>
        <v>3.5718023999999997</v>
      </c>
      <c r="M23" s="197">
        <f>K23*H23</f>
        <v>4.0511495999999996</v>
      </c>
      <c r="N23" s="197">
        <f>M23-L23</f>
        <v>0.47934719999999986</v>
      </c>
      <c r="O23" s="199"/>
      <c r="P23" s="193"/>
      <c r="Q23" s="195">
        <f>4*$L$2</f>
        <v>15.2</v>
      </c>
      <c r="R23" s="195">
        <f>4*$L$2</f>
        <v>15.2</v>
      </c>
      <c r="S23" s="197">
        <f>Q23*F23</f>
        <v>3.5718023999999997</v>
      </c>
      <c r="T23" s="197">
        <f>R23*H23</f>
        <v>4.0511495999999996</v>
      </c>
      <c r="U23" s="197">
        <f>T23-S23</f>
        <v>0.47934719999999986</v>
      </c>
      <c r="V23" s="314"/>
      <c r="X23">
        <f>N23/4</f>
        <v>0.11983679999999997</v>
      </c>
    </row>
    <row r="24" spans="1:25" ht="27.75" customHeight="1" outlineLevel="1" x14ac:dyDescent="0.3">
      <c r="A24" s="464"/>
      <c r="B24" s="522"/>
      <c r="C24" s="4" t="s">
        <v>42</v>
      </c>
      <c r="D24" s="77" t="s">
        <v>9</v>
      </c>
      <c r="E24" s="9">
        <v>0.52829999999999999</v>
      </c>
      <c r="F24" s="70">
        <f>ROUND(E24,4)*1</f>
        <v>0.52829999999999999</v>
      </c>
      <c r="G24" s="60">
        <v>0.52829999999999999</v>
      </c>
      <c r="H24" s="70">
        <f>ROUND(G24,4)*1</f>
        <v>0.52829999999999999</v>
      </c>
      <c r="I24" s="65">
        <f t="shared" si="1"/>
        <v>0</v>
      </c>
      <c r="J24" s="114">
        <f t="shared" si="2"/>
        <v>1</v>
      </c>
      <c r="K24" s="259">
        <f>4*$L$2</f>
        <v>15.2</v>
      </c>
      <c r="L24" s="214">
        <f>K24*F24</f>
        <v>8.0301599999999986</v>
      </c>
      <c r="M24" s="214">
        <f>K24*H24</f>
        <v>8.0301599999999986</v>
      </c>
      <c r="N24" s="214">
        <f>M24-L24</f>
        <v>0</v>
      </c>
      <c r="O24" s="257"/>
      <c r="P24" s="193"/>
      <c r="Q24" s="195">
        <f>4*$L$2</f>
        <v>15.2</v>
      </c>
      <c r="R24" s="195">
        <f>4*$L$2</f>
        <v>15.2</v>
      </c>
      <c r="S24" s="197">
        <f>Q24*F24</f>
        <v>8.0301599999999986</v>
      </c>
      <c r="T24" s="197">
        <f>R24*H24</f>
        <v>8.0301599999999986</v>
      </c>
      <c r="U24" s="197">
        <f>T24-S24</f>
        <v>0</v>
      </c>
      <c r="V24" s="314"/>
    </row>
    <row r="25" spans="1:25" ht="27.75" customHeight="1" outlineLevel="1" x14ac:dyDescent="0.3">
      <c r="A25" s="464"/>
      <c r="B25" s="535"/>
      <c r="C25" s="180" t="s">
        <v>75</v>
      </c>
      <c r="D25" s="262" t="s">
        <v>9</v>
      </c>
      <c r="E25" s="181">
        <v>48.2</v>
      </c>
      <c r="F25" s="185">
        <f>ROUND(E25,4)*1.095</f>
        <v>52.779000000000003</v>
      </c>
      <c r="G25" s="182">
        <v>49.392000000000003</v>
      </c>
      <c r="H25" s="185">
        <f t="shared" si="18"/>
        <v>54.084240000000001</v>
      </c>
      <c r="I25" s="183">
        <f t="shared" si="1"/>
        <v>1.3052399999999977</v>
      </c>
      <c r="J25" s="184">
        <f t="shared" si="2"/>
        <v>1.0247302904564315</v>
      </c>
      <c r="K25" s="210"/>
      <c r="L25" s="212"/>
      <c r="M25" s="212"/>
      <c r="N25" s="212"/>
      <c r="O25" s="300"/>
      <c r="P25" s="193"/>
      <c r="Q25" s="260"/>
      <c r="R25" s="260"/>
      <c r="S25" s="214"/>
      <c r="T25" s="214"/>
      <c r="U25" s="214"/>
      <c r="V25" s="322"/>
    </row>
    <row r="26" spans="1:25" ht="27.75" customHeight="1" outlineLevel="1" x14ac:dyDescent="0.3">
      <c r="A26" s="464"/>
      <c r="B26" s="255"/>
      <c r="C26" s="155" t="s">
        <v>92</v>
      </c>
      <c r="D26" s="141"/>
      <c r="E26" s="152"/>
      <c r="F26" s="142"/>
      <c r="G26" s="152"/>
      <c r="H26" s="142"/>
      <c r="I26" s="153"/>
      <c r="J26" s="164"/>
      <c r="K26" s="219"/>
      <c r="L26" s="221">
        <f>SUM(L22:L24)</f>
        <v>14.818524899999998</v>
      </c>
      <c r="M26" s="221">
        <f>SUM(M22:M24)</f>
        <v>14.888342099999997</v>
      </c>
      <c r="N26" s="221">
        <f>SUM(N22:N24)</f>
        <v>6.9817199999999691E-2</v>
      </c>
      <c r="O26" s="225">
        <f>M26/L26</f>
        <v>1.0047114811002544</v>
      </c>
      <c r="P26" s="193"/>
      <c r="Q26" s="258"/>
      <c r="R26" s="258"/>
      <c r="S26" s="221">
        <f>SUM(S22:S24)</f>
        <v>12.525162399999999</v>
      </c>
      <c r="T26" s="221">
        <f>SUM(T22:T24)</f>
        <v>14.888342099999997</v>
      </c>
      <c r="U26" s="221">
        <f>SUM(U22:U24)</f>
        <v>2.3631796999999994</v>
      </c>
      <c r="V26" s="323">
        <f>T26/S26</f>
        <v>1.1886745755887362</v>
      </c>
    </row>
    <row r="27" spans="1:25" ht="27.75" customHeight="1" outlineLevel="1" x14ac:dyDescent="0.3">
      <c r="A27" s="464"/>
      <c r="B27" s="544" t="s">
        <v>96</v>
      </c>
      <c r="C27" s="263" t="s">
        <v>30</v>
      </c>
      <c r="D27" s="256" t="s">
        <v>7</v>
      </c>
      <c r="E27" s="538"/>
      <c r="F27" s="539"/>
      <c r="G27" s="264">
        <f>[2]VOKA_Omrežnina_predrač.2014_2!$R$23</f>
        <v>4.4609800000000002</v>
      </c>
      <c r="H27" s="265">
        <f t="shared" si="18"/>
        <v>4.8847950000000004</v>
      </c>
      <c r="I27" s="266">
        <f t="shared" si="1"/>
        <v>4.8847950000000004</v>
      </c>
      <c r="J27" s="267"/>
      <c r="K27" s="268">
        <v>1</v>
      </c>
      <c r="L27" s="289"/>
      <c r="M27" s="289">
        <f t="shared" ref="M27:M30" si="19">K27*H27</f>
        <v>4.8847950000000004</v>
      </c>
      <c r="N27" s="289">
        <f t="shared" ref="N27:N29" si="20">M27-L27</f>
        <v>4.8847950000000004</v>
      </c>
      <c r="O27" s="290"/>
      <c r="P27" s="193"/>
      <c r="Q27" s="194"/>
      <c r="R27" s="188"/>
      <c r="S27" s="190"/>
      <c r="T27" s="190"/>
      <c r="U27" s="190"/>
      <c r="V27" s="313"/>
    </row>
    <row r="28" spans="1:25" ht="27.75" customHeight="1" outlineLevel="1" x14ac:dyDescent="0.3">
      <c r="A28" s="464"/>
      <c r="B28" s="523"/>
      <c r="C28" s="143" t="s">
        <v>97</v>
      </c>
      <c r="D28" s="283" t="s">
        <v>7</v>
      </c>
      <c r="E28" s="540"/>
      <c r="F28" s="541"/>
      <c r="G28" s="273">
        <f>[2]VOKA_Omrežnina_predrač.2014_2!$AS$22</f>
        <v>-2.2305000000000001</v>
      </c>
      <c r="H28" s="274">
        <f t="shared" si="18"/>
        <v>-2.4423975000000002</v>
      </c>
      <c r="I28" s="275"/>
      <c r="J28" s="276"/>
      <c r="K28" s="277">
        <v>1</v>
      </c>
      <c r="L28" s="278"/>
      <c r="M28" s="278">
        <f t="shared" si="19"/>
        <v>-2.4423975000000002</v>
      </c>
      <c r="N28" s="278">
        <f t="shared" si="20"/>
        <v>-2.4423975000000002</v>
      </c>
      <c r="O28" s="279"/>
      <c r="P28" s="193"/>
      <c r="Q28" s="280"/>
      <c r="R28" s="281"/>
      <c r="S28" s="282"/>
      <c r="T28" s="282"/>
      <c r="U28" s="282"/>
      <c r="V28" s="324"/>
    </row>
    <row r="29" spans="1:25" ht="27.75" customHeight="1" outlineLevel="1" x14ac:dyDescent="0.3">
      <c r="A29" s="464"/>
      <c r="B29" s="523"/>
      <c r="C29" s="3" t="s">
        <v>8</v>
      </c>
      <c r="D29" s="76" t="s">
        <v>9</v>
      </c>
      <c r="E29" s="542"/>
      <c r="F29" s="543"/>
      <c r="G29" s="247">
        <f>'[2]VOKA_Predr. obdobje plan 2014'!$BR$72</f>
        <v>0.70669999999999999</v>
      </c>
      <c r="H29" s="69">
        <f t="shared" si="18"/>
        <v>0.77383649999999993</v>
      </c>
      <c r="I29" s="64">
        <f t="shared" si="1"/>
        <v>0.77383649999999993</v>
      </c>
      <c r="J29" s="113"/>
      <c r="K29" s="292">
        <f>4*$L$2</f>
        <v>15.2</v>
      </c>
      <c r="L29" s="293"/>
      <c r="M29" s="293">
        <f t="shared" si="19"/>
        <v>11.762314799999999</v>
      </c>
      <c r="N29" s="293">
        <f t="shared" si="20"/>
        <v>11.762314799999999</v>
      </c>
      <c r="O29" s="199"/>
      <c r="P29" s="193"/>
      <c r="Q29" s="261"/>
      <c r="R29" s="259"/>
      <c r="S29" s="269"/>
      <c r="T29" s="269"/>
      <c r="U29" s="269"/>
      <c r="V29" s="325"/>
    </row>
    <row r="30" spans="1:25" ht="27.75" customHeight="1" outlineLevel="1" x14ac:dyDescent="0.3">
      <c r="A30" s="464"/>
      <c r="B30" s="524"/>
      <c r="C30" s="301" t="s">
        <v>99</v>
      </c>
      <c r="D30" s="288" t="s">
        <v>9</v>
      </c>
      <c r="E30" s="286"/>
      <c r="F30" s="287"/>
      <c r="G30" s="294">
        <v>5.28E-2</v>
      </c>
      <c r="H30" s="295">
        <f>ROUND(G30,4)*1</f>
        <v>5.28E-2</v>
      </c>
      <c r="I30" s="296">
        <f t="shared" si="1"/>
        <v>5.28E-2</v>
      </c>
      <c r="J30" s="297"/>
      <c r="K30" s="298">
        <f>4*$L$2</f>
        <v>15.2</v>
      </c>
      <c r="L30" s="291">
        <f>L24</f>
        <v>8.0301599999999986</v>
      </c>
      <c r="M30" s="291">
        <f t="shared" si="19"/>
        <v>0.80255999999999994</v>
      </c>
      <c r="N30" s="291">
        <f>M30-L30</f>
        <v>-7.2275999999999989</v>
      </c>
      <c r="O30" s="272">
        <f>N30/L30</f>
        <v>-0.90005678591709259</v>
      </c>
      <c r="P30" s="193"/>
      <c r="Q30" s="194"/>
      <c r="R30" s="188"/>
      <c r="S30" s="190"/>
      <c r="T30" s="190"/>
      <c r="U30" s="190"/>
      <c r="V30" s="313"/>
    </row>
    <row r="31" spans="1:25" ht="27.75" customHeight="1" outlineLevel="1" x14ac:dyDescent="0.3">
      <c r="A31" s="464"/>
      <c r="B31" s="536" t="s">
        <v>91</v>
      </c>
      <c r="C31" s="537"/>
      <c r="D31" s="302"/>
      <c r="E31" s="303"/>
      <c r="F31" s="304"/>
      <c r="G31" s="305"/>
      <c r="H31" s="306"/>
      <c r="I31" s="307"/>
      <c r="J31" s="308"/>
      <c r="K31" s="309"/>
      <c r="L31" s="310"/>
      <c r="M31" s="299">
        <f>SUM(M27:M30)</f>
        <v>15.007272299999999</v>
      </c>
      <c r="N31" s="299">
        <f>SUM(N27:N30)</f>
        <v>6.9771122999999999</v>
      </c>
      <c r="O31" s="311"/>
      <c r="P31" s="193"/>
      <c r="Q31" s="210"/>
      <c r="R31" s="210"/>
      <c r="S31" s="270"/>
      <c r="T31" s="271"/>
      <c r="U31" s="271"/>
      <c r="V31" s="326"/>
    </row>
    <row r="32" spans="1:25" ht="27.75" customHeight="1" thickBot="1" x14ac:dyDescent="0.35">
      <c r="A32" s="465"/>
      <c r="B32" s="515" t="s">
        <v>93</v>
      </c>
      <c r="C32" s="516"/>
      <c r="D32" s="517"/>
      <c r="E32" s="157"/>
      <c r="F32" s="158"/>
      <c r="G32" s="159"/>
      <c r="H32" s="158"/>
      <c r="I32" s="160"/>
      <c r="J32" s="165"/>
      <c r="K32" s="226"/>
      <c r="L32" s="228">
        <f>L21+L26</f>
        <v>23.7785814</v>
      </c>
      <c r="M32" s="228">
        <f>M21+M26</f>
        <v>23.873517899999996</v>
      </c>
      <c r="N32" s="186">
        <f>N21+N26</f>
        <v>9.4936499999998869E-2</v>
      </c>
      <c r="O32" s="230">
        <f>M32/L32</f>
        <v>1.0039925216060197</v>
      </c>
      <c r="P32" s="193"/>
      <c r="Q32" s="226"/>
      <c r="R32" s="226"/>
      <c r="S32" s="228">
        <f>S21+S26</f>
        <v>18.964506399999998</v>
      </c>
      <c r="T32" s="228">
        <f>T21+T26</f>
        <v>22.956564899999996</v>
      </c>
      <c r="U32" s="186">
        <f>U21+U26</f>
        <v>3.9920584999999984</v>
      </c>
      <c r="V32" s="319">
        <f>T32/S32</f>
        <v>1.2105015767771314</v>
      </c>
      <c r="X32" s="2">
        <f>N32/4</f>
        <v>2.3734124999999717E-2</v>
      </c>
      <c r="Y32" s="2">
        <f>U32/4</f>
        <v>0.9980146249999996</v>
      </c>
    </row>
    <row r="33" spans="1:25" ht="27.75" hidden="1" customHeight="1" outlineLevel="1" x14ac:dyDescent="0.3">
      <c r="A33" s="459" t="s">
        <v>13</v>
      </c>
      <c r="B33" s="518" t="s">
        <v>6</v>
      </c>
      <c r="C33" s="132" t="s">
        <v>30</v>
      </c>
      <c r="D33" s="133" t="s">
        <v>7</v>
      </c>
      <c r="E33" s="134">
        <v>1.792</v>
      </c>
      <c r="F33" s="135">
        <f>ROUND(E33,4)*1.095</f>
        <v>1.96224</v>
      </c>
      <c r="G33" s="136">
        <f>[2]VOKA_Omrežnina_predrač.2014_2!$P$34</f>
        <v>2.063210196586736</v>
      </c>
      <c r="H33" s="135">
        <f t="shared" ref="H33:H36" si="21">ROUND(G33,4)*1.095</f>
        <v>2.259204</v>
      </c>
      <c r="I33" s="137">
        <f t="shared" si="1"/>
        <v>0.29696400000000001</v>
      </c>
      <c r="J33" s="138">
        <f t="shared" si="2"/>
        <v>1.1513449757738481</v>
      </c>
      <c r="K33" s="231">
        <v>1</v>
      </c>
      <c r="L33" s="233">
        <f>K33*F33</f>
        <v>1.96224</v>
      </c>
      <c r="M33" s="233">
        <f>K33*H33</f>
        <v>2.259204</v>
      </c>
      <c r="N33" s="233">
        <f>M33-L33</f>
        <v>0.29696400000000001</v>
      </c>
      <c r="O33" s="235"/>
      <c r="P33" s="193"/>
      <c r="Q33" s="236" t="s">
        <v>73</v>
      </c>
      <c r="R33" s="231">
        <v>1</v>
      </c>
      <c r="S33" s="233">
        <v>0.72589999999999999</v>
      </c>
      <c r="T33" s="233">
        <f>R33*H33</f>
        <v>2.259204</v>
      </c>
      <c r="U33" s="233">
        <f>T33-S33</f>
        <v>1.533304</v>
      </c>
      <c r="V33" s="320"/>
    </row>
    <row r="34" spans="1:25" ht="27.75" hidden="1" customHeight="1" outlineLevel="1" x14ac:dyDescent="0.3">
      <c r="A34" s="460"/>
      <c r="B34" s="519"/>
      <c r="C34" s="143" t="s">
        <v>77</v>
      </c>
      <c r="D34" s="144" t="s">
        <v>7</v>
      </c>
      <c r="E34" s="145"/>
      <c r="F34" s="146"/>
      <c r="G34" s="147">
        <f>[2]VOKA_Omrežnina_predrač.2014_2!$AD$34</f>
        <v>-0.83739505597014929</v>
      </c>
      <c r="H34" s="146">
        <f t="shared" si="21"/>
        <v>-0.91695300000000002</v>
      </c>
      <c r="I34" s="148">
        <f>H34-F34</f>
        <v>-0.91695300000000002</v>
      </c>
      <c r="J34" s="149"/>
      <c r="K34" s="239"/>
      <c r="L34" s="240"/>
      <c r="M34" s="240"/>
      <c r="N34" s="240"/>
      <c r="O34" s="241"/>
      <c r="P34" s="193"/>
      <c r="Q34" s="194"/>
      <c r="R34" s="188"/>
      <c r="S34" s="190"/>
      <c r="T34" s="190"/>
      <c r="U34" s="190"/>
      <c r="V34" s="313"/>
    </row>
    <row r="35" spans="1:25" ht="27.75" hidden="1" customHeight="1" outlineLevel="1" x14ac:dyDescent="0.3">
      <c r="A35" s="460"/>
      <c r="B35" s="519"/>
      <c r="C35" s="3" t="s">
        <v>8</v>
      </c>
      <c r="D35" s="76" t="s">
        <v>9</v>
      </c>
      <c r="E35" s="12">
        <v>0.27300000000000002</v>
      </c>
      <c r="F35" s="69">
        <f>ROUND(E35,4)*1.095</f>
        <v>0.29893500000000001</v>
      </c>
      <c r="G35" s="246">
        <f>'[2]VOKA_Predr. obdobje plan 2014'!$AI$72</f>
        <v>0.4328617480159232</v>
      </c>
      <c r="H35" s="69">
        <f t="shared" si="21"/>
        <v>0.47402549999999999</v>
      </c>
      <c r="I35" s="64">
        <f t="shared" si="1"/>
        <v>0.17509049999999998</v>
      </c>
      <c r="J35" s="113">
        <f t="shared" si="2"/>
        <v>1.585574168556495</v>
      </c>
      <c r="K35" s="195">
        <f>4*$L$2</f>
        <v>15.2</v>
      </c>
      <c r="L35" s="197">
        <f>K35*F35</f>
        <v>4.543812</v>
      </c>
      <c r="M35" s="197">
        <f>K35*H35</f>
        <v>7.2051875999999995</v>
      </c>
      <c r="N35" s="197">
        <f>M35-L35</f>
        <v>2.6613755999999995</v>
      </c>
      <c r="O35" s="199"/>
      <c r="P35" s="193"/>
      <c r="Q35" s="195">
        <f>4*$L$2</f>
        <v>15.2</v>
      </c>
      <c r="R35" s="195">
        <f>4*$L$2</f>
        <v>15.2</v>
      </c>
      <c r="S35" s="197">
        <f>Q35*F35</f>
        <v>4.543812</v>
      </c>
      <c r="T35" s="197">
        <f>R35*H35</f>
        <v>7.2051875999999995</v>
      </c>
      <c r="U35" s="197">
        <f>T35-S35</f>
        <v>2.6613755999999995</v>
      </c>
      <c r="V35" s="314"/>
      <c r="X35">
        <f>N35/4</f>
        <v>0.66534389999999988</v>
      </c>
    </row>
    <row r="36" spans="1:25" ht="27.75" hidden="1" customHeight="1" outlineLevel="1" x14ac:dyDescent="0.3">
      <c r="A36" s="460"/>
      <c r="B36" s="519"/>
      <c r="C36" s="4" t="s">
        <v>10</v>
      </c>
      <c r="D36" s="77" t="s">
        <v>9</v>
      </c>
      <c r="E36" s="9">
        <v>6.3799999999999996E-2</v>
      </c>
      <c r="F36" s="70">
        <f>ROUND(E36,4)*1.095</f>
        <v>6.9860999999999993E-2</v>
      </c>
      <c r="G36" s="60">
        <v>6.3799999999999996E-2</v>
      </c>
      <c r="H36" s="70">
        <f t="shared" si="21"/>
        <v>6.9860999999999993E-2</v>
      </c>
      <c r="I36" s="65">
        <f t="shared" si="1"/>
        <v>0</v>
      </c>
      <c r="J36" s="114">
        <f t="shared" si="2"/>
        <v>1</v>
      </c>
      <c r="K36" s="200">
        <f>4*$L$2</f>
        <v>15.2</v>
      </c>
      <c r="L36" s="202">
        <f>K36*F36</f>
        <v>1.0618871999999999</v>
      </c>
      <c r="M36" s="202">
        <f>K36*H36</f>
        <v>1.0618871999999999</v>
      </c>
      <c r="N36" s="202">
        <f>M36-L36</f>
        <v>0</v>
      </c>
      <c r="O36" s="204"/>
      <c r="P36" s="193"/>
      <c r="Q36" s="200">
        <f>4*$L$2</f>
        <v>15.2</v>
      </c>
      <c r="R36" s="200">
        <f>4*$L$2</f>
        <v>15.2</v>
      </c>
      <c r="S36" s="202">
        <f>Q36*F36</f>
        <v>1.0618871999999999</v>
      </c>
      <c r="T36" s="202">
        <f>R36*H36</f>
        <v>1.0618871999999999</v>
      </c>
      <c r="U36" s="202">
        <f>T36-S36</f>
        <v>0</v>
      </c>
      <c r="V36" s="315"/>
    </row>
    <row r="37" spans="1:25" ht="27.75" hidden="1" customHeight="1" outlineLevel="1" x14ac:dyDescent="0.3">
      <c r="A37" s="460"/>
      <c r="B37" s="520"/>
      <c r="C37" s="154" t="s">
        <v>60</v>
      </c>
      <c r="D37" s="139"/>
      <c r="E37" s="152"/>
      <c r="F37" s="142"/>
      <c r="G37" s="152"/>
      <c r="H37" s="142"/>
      <c r="I37" s="153"/>
      <c r="J37" s="163"/>
      <c r="K37" s="205"/>
      <c r="L37" s="207">
        <f>SUM(L33:L36)</f>
        <v>7.5679392000000005</v>
      </c>
      <c r="M37" s="207">
        <f t="shared" ref="M37:N37" si="22">SUM(M33:M36)</f>
        <v>10.526278799999998</v>
      </c>
      <c r="N37" s="207">
        <f t="shared" si="22"/>
        <v>2.9583395999999995</v>
      </c>
      <c r="O37" s="209">
        <f>M37/L37</f>
        <v>1.3909042503935547</v>
      </c>
      <c r="P37" s="193"/>
      <c r="Q37" s="205"/>
      <c r="R37" s="205"/>
      <c r="S37" s="207">
        <f>SUM(S33:S36)</f>
        <v>6.3315992000000003</v>
      </c>
      <c r="T37" s="207">
        <f t="shared" ref="T37:U37" si="23">SUM(T33:T36)</f>
        <v>10.526278799999998</v>
      </c>
      <c r="U37" s="207">
        <f t="shared" si="23"/>
        <v>4.1946795999999997</v>
      </c>
      <c r="V37" s="321">
        <f>T37/S37</f>
        <v>1.6624992308420277</v>
      </c>
    </row>
    <row r="38" spans="1:25" ht="27.75" hidden="1" customHeight="1" collapsed="1" thickBot="1" x14ac:dyDescent="0.35">
      <c r="A38" s="461"/>
      <c r="B38" s="515" t="s">
        <v>62</v>
      </c>
      <c r="C38" s="516"/>
      <c r="D38" s="517"/>
      <c r="E38" s="157"/>
      <c r="F38" s="158"/>
      <c r="G38" s="159"/>
      <c r="H38" s="158"/>
      <c r="I38" s="160"/>
      <c r="J38" s="165"/>
      <c r="K38" s="226"/>
      <c r="L38" s="228">
        <f>L37</f>
        <v>7.5679392000000005</v>
      </c>
      <c r="M38" s="228">
        <f t="shared" ref="M38:N38" si="24">M37</f>
        <v>10.526278799999998</v>
      </c>
      <c r="N38" s="187">
        <f t="shared" si="24"/>
        <v>2.9583395999999995</v>
      </c>
      <c r="O38" s="230">
        <f>M38/L38</f>
        <v>1.3909042503935547</v>
      </c>
      <c r="P38" s="193"/>
      <c r="Q38" s="226"/>
      <c r="R38" s="226"/>
      <c r="S38" s="228">
        <f>S37</f>
        <v>6.3315992000000003</v>
      </c>
      <c r="T38" s="228">
        <f t="shared" ref="T38:U38" si="25">T37</f>
        <v>10.526278799999998</v>
      </c>
      <c r="U38" s="186">
        <f t="shared" si="25"/>
        <v>4.1946795999999997</v>
      </c>
      <c r="V38" s="319">
        <f>T38/S38</f>
        <v>1.6624992308420277</v>
      </c>
      <c r="X38" s="2">
        <f>N38/4</f>
        <v>0.73958489999999988</v>
      </c>
      <c r="Y38" s="2">
        <f>U38/4</f>
        <v>1.0486698999999999</v>
      </c>
    </row>
    <row r="39" spans="1:25" ht="24.75" customHeight="1" x14ac:dyDescent="0.25">
      <c r="A39" s="156" t="s">
        <v>45</v>
      </c>
      <c r="B39" s="527" t="s">
        <v>95</v>
      </c>
      <c r="C39" s="527"/>
      <c r="E39" s="527" t="s">
        <v>98</v>
      </c>
      <c r="F39" s="527"/>
      <c r="K39" s="533" t="s">
        <v>98</v>
      </c>
      <c r="L39" s="534"/>
      <c r="M39" s="534"/>
    </row>
    <row r="40" spans="1:25" hidden="1" x14ac:dyDescent="0.25"/>
    <row r="41" spans="1:25" hidden="1" x14ac:dyDescent="0.25">
      <c r="B41" s="252" t="s">
        <v>89</v>
      </c>
      <c r="C41" s="253"/>
    </row>
    <row r="42" spans="1:25" hidden="1" x14ac:dyDescent="0.25">
      <c r="B42" t="s">
        <v>86</v>
      </c>
      <c r="C42" t="s">
        <v>88</v>
      </c>
      <c r="N42" s="2">
        <f>N5+N11</f>
        <v>-1.5794280000000005</v>
      </c>
      <c r="U42" s="2">
        <f>U5+U7+U11</f>
        <v>4.7988055000000003</v>
      </c>
    </row>
    <row r="43" spans="1:25" hidden="1" x14ac:dyDescent="0.25">
      <c r="B43" t="s">
        <v>12</v>
      </c>
      <c r="C43" t="s">
        <v>88</v>
      </c>
      <c r="N43" s="2">
        <f>N17+N22</f>
        <v>-1.6942935000000006</v>
      </c>
      <c r="U43" s="2">
        <f>U17+U18+U22</f>
        <v>2.202828499999999</v>
      </c>
    </row>
    <row r="44" spans="1:25" hidden="1" x14ac:dyDescent="0.25">
      <c r="B44" t="s">
        <v>13</v>
      </c>
      <c r="C44" t="s">
        <v>88</v>
      </c>
      <c r="N44" s="2">
        <f>N33</f>
        <v>0.29696400000000001</v>
      </c>
      <c r="U44" s="2">
        <f>U33+U34</f>
        <v>1.533304</v>
      </c>
    </row>
    <row r="45" spans="1:25" hidden="1" x14ac:dyDescent="0.25">
      <c r="B45" s="73" t="s">
        <v>87</v>
      </c>
      <c r="N45" s="251">
        <f>AVERAGE(N42:N44)</f>
        <v>-0.99225250000000031</v>
      </c>
      <c r="U45" s="251">
        <f>AVERAGE(U42:U44)</f>
        <v>2.8449793333333329</v>
      </c>
    </row>
    <row r="46" spans="1:25" hidden="1" x14ac:dyDescent="0.25"/>
    <row r="47" spans="1:25" hidden="1" x14ac:dyDescent="0.25">
      <c r="B47" s="252" t="s">
        <v>90</v>
      </c>
      <c r="C47" s="252"/>
      <c r="N47" s="2"/>
    </row>
    <row r="48" spans="1:25" hidden="1" x14ac:dyDescent="0.25">
      <c r="B48" t="s">
        <v>86</v>
      </c>
      <c r="C48" t="s">
        <v>8</v>
      </c>
      <c r="N48" s="2">
        <f>(N8+N12)/4</f>
        <v>0.81056280000000014</v>
      </c>
    </row>
    <row r="49" spans="2:14" hidden="1" x14ac:dyDescent="0.25">
      <c r="B49" t="s">
        <v>12</v>
      </c>
      <c r="C49" t="s">
        <v>8</v>
      </c>
      <c r="N49" s="2">
        <f>(N19+N23)/4</f>
        <v>0.44730749999999986</v>
      </c>
    </row>
    <row r="50" spans="2:14" hidden="1" x14ac:dyDescent="0.25">
      <c r="B50" t="s">
        <v>13</v>
      </c>
      <c r="C50" t="s">
        <v>8</v>
      </c>
      <c r="F50" s="179"/>
      <c r="H50" s="179"/>
      <c r="N50" s="2">
        <f>N35/4</f>
        <v>0.66534389999999988</v>
      </c>
    </row>
    <row r="51" spans="2:14" hidden="1" x14ac:dyDescent="0.25">
      <c r="B51" s="73" t="s">
        <v>87</v>
      </c>
      <c r="F51" s="179"/>
      <c r="H51" s="179"/>
      <c r="N51" s="251">
        <f>AVERAGE(N48:N50)</f>
        <v>0.64107139999999996</v>
      </c>
    </row>
    <row r="52" spans="2:14" hidden="1" x14ac:dyDescent="0.25">
      <c r="E52" s="2"/>
      <c r="F52" s="179"/>
      <c r="G52" s="2"/>
      <c r="H52" s="179"/>
      <c r="I52" s="2"/>
      <c r="J52" s="2"/>
      <c r="N52" s="2"/>
    </row>
    <row r="53" spans="2:14" ht="24" customHeight="1" x14ac:dyDescent="0.25">
      <c r="B53" s="531" t="s">
        <v>100</v>
      </c>
      <c r="C53" s="532"/>
      <c r="F53" s="179"/>
      <c r="H53" s="328"/>
    </row>
    <row r="54" spans="2:14" x14ac:dyDescent="0.25">
      <c r="F54" s="179"/>
      <c r="H54" s="328"/>
      <c r="K54" s="336" t="s">
        <v>103</v>
      </c>
      <c r="L54" s="253"/>
      <c r="M54" s="253"/>
      <c r="N54" s="2"/>
    </row>
    <row r="55" spans="2:14" x14ac:dyDescent="0.25">
      <c r="F55" s="179"/>
      <c r="H55" s="179"/>
      <c r="K55" s="253" t="s">
        <v>110</v>
      </c>
      <c r="L55" s="253"/>
      <c r="M55" s="253"/>
    </row>
    <row r="56" spans="2:14" x14ac:dyDescent="0.25">
      <c r="F56" s="179"/>
      <c r="H56" s="179"/>
    </row>
    <row r="57" spans="2:14" x14ac:dyDescent="0.25">
      <c r="F57" s="179"/>
      <c r="H57" s="179"/>
      <c r="K57" t="s">
        <v>108</v>
      </c>
    </row>
    <row r="58" spans="2:14" x14ac:dyDescent="0.25">
      <c r="F58" s="179"/>
      <c r="H58" s="179"/>
      <c r="K58" t="s">
        <v>106</v>
      </c>
    </row>
    <row r="59" spans="2:14" x14ac:dyDescent="0.25">
      <c r="F59" s="179"/>
      <c r="H59" s="179"/>
      <c r="K59" t="s">
        <v>107</v>
      </c>
    </row>
    <row r="60" spans="2:14" x14ac:dyDescent="0.25">
      <c r="F60" s="179"/>
      <c r="H60" s="179"/>
    </row>
    <row r="61" spans="2:14" x14ac:dyDescent="0.25">
      <c r="F61" s="179"/>
      <c r="H61" s="179"/>
    </row>
    <row r="62" spans="2:14" x14ac:dyDescent="0.25">
      <c r="F62" s="179"/>
      <c r="H62" s="179"/>
    </row>
    <row r="63" spans="2:14" x14ac:dyDescent="0.25">
      <c r="F63" s="179"/>
      <c r="H63" s="179"/>
    </row>
    <row r="64" spans="2:14" x14ac:dyDescent="0.25">
      <c r="F64" s="179"/>
      <c r="H64" s="179"/>
    </row>
    <row r="65" spans="6:8" x14ac:dyDescent="0.25">
      <c r="F65" s="179"/>
      <c r="H65" s="179"/>
    </row>
    <row r="66" spans="6:8" x14ac:dyDescent="0.25">
      <c r="F66" s="179"/>
      <c r="H66" s="179"/>
    </row>
    <row r="67" spans="6:8" x14ac:dyDescent="0.25">
      <c r="F67" s="179"/>
      <c r="H67" s="179"/>
    </row>
    <row r="68" spans="6:8" x14ac:dyDescent="0.25">
      <c r="F68" s="179"/>
      <c r="H68" s="179"/>
    </row>
    <row r="69" spans="6:8" x14ac:dyDescent="0.25">
      <c r="F69" s="179"/>
      <c r="H69" s="179"/>
    </row>
    <row r="70" spans="6:8" x14ac:dyDescent="0.25">
      <c r="F70" s="179"/>
      <c r="H70" s="179"/>
    </row>
    <row r="71" spans="6:8" x14ac:dyDescent="0.25">
      <c r="F71" s="179"/>
      <c r="H71" s="179"/>
    </row>
    <row r="72" spans="6:8" x14ac:dyDescent="0.25">
      <c r="F72" s="179"/>
      <c r="H72" s="179"/>
    </row>
    <row r="73" spans="6:8" x14ac:dyDescent="0.25">
      <c r="F73" s="179"/>
      <c r="H73" s="179"/>
    </row>
    <row r="74" spans="6:8" x14ac:dyDescent="0.25">
      <c r="F74" s="179"/>
      <c r="H74" s="179"/>
    </row>
    <row r="75" spans="6:8" x14ac:dyDescent="0.25">
      <c r="F75" s="179"/>
      <c r="H75" s="179"/>
    </row>
    <row r="76" spans="6:8" x14ac:dyDescent="0.25">
      <c r="F76" s="179"/>
      <c r="H76" s="179"/>
    </row>
    <row r="77" spans="6:8" x14ac:dyDescent="0.25">
      <c r="F77" s="179"/>
      <c r="H77" s="179"/>
    </row>
    <row r="78" spans="6:8" x14ac:dyDescent="0.25">
      <c r="F78" s="179"/>
      <c r="H78" s="179"/>
    </row>
    <row r="79" spans="6:8" x14ac:dyDescent="0.25">
      <c r="F79" s="179"/>
      <c r="H79" s="179"/>
    </row>
    <row r="80" spans="6:8" x14ac:dyDescent="0.25">
      <c r="F80" s="179"/>
      <c r="H80" s="179"/>
    </row>
    <row r="81" spans="6:8" x14ac:dyDescent="0.25">
      <c r="F81" s="179"/>
      <c r="H81" s="179"/>
    </row>
    <row r="82" spans="6:8" x14ac:dyDescent="0.25">
      <c r="F82" s="179"/>
      <c r="H82" s="179"/>
    </row>
    <row r="83" spans="6:8" x14ac:dyDescent="0.25">
      <c r="F83" s="179"/>
      <c r="H83" s="179"/>
    </row>
    <row r="84" spans="6:8" x14ac:dyDescent="0.25">
      <c r="F84" s="179"/>
      <c r="H84" s="179"/>
    </row>
    <row r="85" spans="6:8" x14ac:dyDescent="0.25">
      <c r="F85" s="179"/>
      <c r="H85" s="179"/>
    </row>
    <row r="86" spans="6:8" x14ac:dyDescent="0.25">
      <c r="F86" s="179"/>
      <c r="H86" s="179"/>
    </row>
    <row r="87" spans="6:8" x14ac:dyDescent="0.25">
      <c r="F87" s="179"/>
      <c r="H87" s="179"/>
    </row>
    <row r="88" spans="6:8" x14ac:dyDescent="0.25">
      <c r="F88" s="179"/>
      <c r="H88" s="179"/>
    </row>
    <row r="89" spans="6:8" x14ac:dyDescent="0.25">
      <c r="F89" s="179"/>
      <c r="H89" s="179"/>
    </row>
    <row r="90" spans="6:8" x14ac:dyDescent="0.25">
      <c r="F90" s="179"/>
      <c r="H90" s="179"/>
    </row>
    <row r="91" spans="6:8" x14ac:dyDescent="0.25">
      <c r="F91" s="179"/>
      <c r="H91" s="179"/>
    </row>
    <row r="92" spans="6:8" x14ac:dyDescent="0.25">
      <c r="F92" s="179"/>
      <c r="H92" s="179"/>
    </row>
    <row r="93" spans="6:8" x14ac:dyDescent="0.25">
      <c r="F93" s="179"/>
      <c r="H93" s="179"/>
    </row>
  </sheetData>
  <autoFilter ref="A4:Y39">
    <filterColumn colId="16" showButton="0"/>
  </autoFilter>
  <mergeCells count="24">
    <mergeCell ref="B39:C39"/>
    <mergeCell ref="E39:F39"/>
    <mergeCell ref="K39:M39"/>
    <mergeCell ref="B53:C53"/>
    <mergeCell ref="E27:F29"/>
    <mergeCell ref="B31:C31"/>
    <mergeCell ref="B32:D32"/>
    <mergeCell ref="A33:A38"/>
    <mergeCell ref="B33:B37"/>
    <mergeCell ref="B38:D38"/>
    <mergeCell ref="A5:A16"/>
    <mergeCell ref="B5:B10"/>
    <mergeCell ref="B11:B15"/>
    <mergeCell ref="B16:D16"/>
    <mergeCell ref="A17:A32"/>
    <mergeCell ref="B17:B21"/>
    <mergeCell ref="B22:B25"/>
    <mergeCell ref="B27:B30"/>
    <mergeCell ref="Q4:R4"/>
    <mergeCell ref="A3:C3"/>
    <mergeCell ref="E3:F3"/>
    <mergeCell ref="G3:H3"/>
    <mergeCell ref="K3:O3"/>
    <mergeCell ref="Q3:V3"/>
  </mergeCells>
  <pageMargins left="0.23622047244094491" right="0.23622047244094491" top="0.39370078740157483" bottom="0.27559055118110237" header="0.15748031496062992" footer="0.15748031496062992"/>
  <pageSetup paperSize="9" scale="55" fitToWidth="2" orientation="landscape" r:id="rId1"/>
  <headerFooter>
    <oddHeader>&amp;L&amp;G&amp;CPrimerjava prodajnih cen VOKA&amp;RVar 1_Prevalje</oddHeader>
    <oddFooter>&amp;L                                                                                                          
Ravne na Koroškem, &amp;D&amp;CIzdelala: Andreja Jehart&amp;RStran &amp;P/&amp;N</oddFooter>
  </headerFooter>
  <colBreaks count="1" manualBreakCount="1">
    <brk id="10" max="1048575" man="1"/>
  </colBreaks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Y93"/>
  <sheetViews>
    <sheetView workbookViewId="0"/>
  </sheetViews>
  <sheetFormatPr defaultRowHeight="15.75" outlineLevelRow="1" outlineLevelCol="1" x14ac:dyDescent="0.25"/>
  <cols>
    <col min="1" max="1" width="10.7109375" customWidth="1"/>
    <col min="2" max="2" width="17.5703125" customWidth="1"/>
    <col min="3" max="3" width="34" customWidth="1"/>
    <col min="4" max="4" width="10.28515625" customWidth="1"/>
    <col min="5" max="10" width="22.5703125" customWidth="1" outlineLevel="1"/>
    <col min="11" max="11" width="17.42578125" customWidth="1"/>
    <col min="12" max="13" width="14.42578125" customWidth="1"/>
    <col min="14" max="14" width="15.7109375" customWidth="1"/>
    <col min="15" max="15" width="18.7109375" customWidth="1"/>
    <col min="16" max="16" width="3.5703125" customWidth="1"/>
    <col min="17" max="17" width="12.7109375" customWidth="1"/>
    <col min="18" max="18" width="11.7109375" customWidth="1"/>
    <col min="19" max="21" width="14.42578125" customWidth="1"/>
    <col min="22" max="22" width="19" customWidth="1"/>
    <col min="24" max="25" width="0" hidden="1" customWidth="1"/>
  </cols>
  <sheetData>
    <row r="1" spans="1:25" ht="20.25" customHeight="1" x14ac:dyDescent="0.25">
      <c r="A1" s="248"/>
      <c r="B1" s="248"/>
      <c r="C1" s="248"/>
      <c r="I1" s="335"/>
    </row>
    <row r="2" spans="1:25" ht="19.5" customHeight="1" thickBot="1" x14ac:dyDescent="0.35">
      <c r="A2" s="124" t="s">
        <v>47</v>
      </c>
      <c r="D2" s="332"/>
      <c r="I2" s="2"/>
      <c r="K2" s="250" t="s">
        <v>84</v>
      </c>
      <c r="L2" s="242">
        <v>3.8</v>
      </c>
      <c r="M2" s="249" t="s">
        <v>83</v>
      </c>
    </row>
    <row r="3" spans="1:25" s="174" customFormat="1" ht="27" customHeight="1" thickTop="1" x14ac:dyDescent="0.25">
      <c r="A3" s="545" t="s">
        <v>101</v>
      </c>
      <c r="B3" s="545"/>
      <c r="C3" s="545"/>
      <c r="E3" s="525" t="s">
        <v>49</v>
      </c>
      <c r="F3" s="526"/>
      <c r="G3" s="525" t="s">
        <v>76</v>
      </c>
      <c r="H3" s="526"/>
      <c r="I3" s="175"/>
      <c r="J3" s="176"/>
      <c r="K3" s="512" t="s">
        <v>69</v>
      </c>
      <c r="L3" s="513"/>
      <c r="M3" s="513"/>
      <c r="N3" s="513"/>
      <c r="O3" s="514"/>
      <c r="P3" s="327">
        <v>0.02</v>
      </c>
      <c r="Q3" s="512" t="s">
        <v>85</v>
      </c>
      <c r="R3" s="513"/>
      <c r="S3" s="513"/>
      <c r="T3" s="513"/>
      <c r="U3" s="513"/>
      <c r="V3" s="514"/>
    </row>
    <row r="4" spans="1:25" ht="49.5" customHeight="1" thickBot="1" x14ac:dyDescent="0.3">
      <c r="A4" s="166" t="s">
        <v>0</v>
      </c>
      <c r="B4" s="167" t="s">
        <v>1</v>
      </c>
      <c r="C4" s="167" t="s">
        <v>2</v>
      </c>
      <c r="D4" s="178" t="s">
        <v>3</v>
      </c>
      <c r="E4" s="49" t="s">
        <v>63</v>
      </c>
      <c r="F4" s="168" t="s">
        <v>64</v>
      </c>
      <c r="G4" s="49" t="s">
        <v>63</v>
      </c>
      <c r="H4" s="168" t="s">
        <v>64</v>
      </c>
      <c r="I4" s="50" t="s">
        <v>33</v>
      </c>
      <c r="J4" s="50" t="s">
        <v>50</v>
      </c>
      <c r="K4" s="245" t="s">
        <v>78</v>
      </c>
      <c r="L4" s="333" t="s">
        <v>79</v>
      </c>
      <c r="M4" s="333" t="s">
        <v>80</v>
      </c>
      <c r="N4" s="333" t="s">
        <v>81</v>
      </c>
      <c r="O4" s="334" t="s">
        <v>66</v>
      </c>
      <c r="Q4" s="530" t="s">
        <v>82</v>
      </c>
      <c r="R4" s="530"/>
      <c r="S4" s="333" t="s">
        <v>79</v>
      </c>
      <c r="T4" s="333" t="s">
        <v>80</v>
      </c>
      <c r="U4" s="333" t="s">
        <v>81</v>
      </c>
      <c r="V4" s="334" t="s">
        <v>66</v>
      </c>
    </row>
    <row r="5" spans="1:25" ht="27.75" hidden="1" customHeight="1" outlineLevel="1" x14ac:dyDescent="0.3">
      <c r="A5" s="464" t="s">
        <v>5</v>
      </c>
      <c r="B5" s="519" t="s">
        <v>6</v>
      </c>
      <c r="C5" s="143" t="s">
        <v>30</v>
      </c>
      <c r="D5" s="144" t="s">
        <v>7</v>
      </c>
      <c r="E5" s="145">
        <v>3.7061999999999999</v>
      </c>
      <c r="F5" s="146">
        <f>ROUND(E5,4)*1.095</f>
        <v>4.0582890000000003</v>
      </c>
      <c r="G5" s="147">
        <f>[2]VOKA_Omrežnina_predrač.2014_2!$P$12</f>
        <v>2.3874280765175477</v>
      </c>
      <c r="H5" s="146">
        <f>ROUND(G5,4)*1.095</f>
        <v>2.6142029999999998</v>
      </c>
      <c r="I5" s="148">
        <f>H5-F5</f>
        <v>-1.4440860000000004</v>
      </c>
      <c r="J5" s="149">
        <f>G5/E5</f>
        <v>0.64417140912998427</v>
      </c>
      <c r="K5" s="188">
        <v>1</v>
      </c>
      <c r="L5" s="190">
        <f>K5*F5</f>
        <v>4.0582890000000003</v>
      </c>
      <c r="M5" s="190">
        <f>K5*H5</f>
        <v>2.6142029999999998</v>
      </c>
      <c r="N5" s="190">
        <f>M5-L5</f>
        <v>-1.4440860000000004</v>
      </c>
      <c r="O5" s="192"/>
      <c r="P5" s="193"/>
      <c r="Q5" s="194" t="s">
        <v>73</v>
      </c>
      <c r="R5" s="188">
        <v>1</v>
      </c>
      <c r="S5" s="190">
        <v>0.83630000000000004</v>
      </c>
      <c r="T5" s="190">
        <f>R5*H5</f>
        <v>2.6142029999999998</v>
      </c>
      <c r="U5" s="190">
        <f>T5-S5</f>
        <v>1.7779029999999998</v>
      </c>
      <c r="V5" s="313"/>
    </row>
    <row r="6" spans="1:25" ht="27.75" hidden="1" customHeight="1" outlineLevel="1" x14ac:dyDescent="0.3">
      <c r="A6" s="464"/>
      <c r="B6" s="519"/>
      <c r="C6" s="143" t="s">
        <v>94</v>
      </c>
      <c r="D6" s="144" t="s">
        <v>7</v>
      </c>
      <c r="E6" s="145"/>
      <c r="F6" s="146"/>
      <c r="G6" s="147">
        <f>[2]VOKA_Omrežnina_predrač.2014_2!$AH$12</f>
        <v>-0.82101806239737274</v>
      </c>
      <c r="H6" s="146">
        <f>ROUND(G6,4)*1.095</f>
        <v>-0.89899499999999988</v>
      </c>
      <c r="I6" s="148">
        <f>H6-F6</f>
        <v>-0.89899499999999988</v>
      </c>
      <c r="J6" s="149"/>
      <c r="K6" s="188">
        <v>1</v>
      </c>
      <c r="L6" s="190"/>
      <c r="M6" s="190"/>
      <c r="N6" s="190"/>
      <c r="O6" s="192"/>
      <c r="P6" s="193"/>
      <c r="Q6" s="194"/>
      <c r="R6" s="188">
        <v>1</v>
      </c>
      <c r="S6" s="190"/>
      <c r="T6" s="190"/>
      <c r="U6" s="190"/>
      <c r="V6" s="313"/>
    </row>
    <row r="7" spans="1:25" ht="27.75" hidden="1" customHeight="1" outlineLevel="1" x14ac:dyDescent="0.3">
      <c r="A7" s="464"/>
      <c r="B7" s="519"/>
      <c r="C7" s="143" t="s">
        <v>77</v>
      </c>
      <c r="D7" s="144" t="s">
        <v>7</v>
      </c>
      <c r="E7" s="145"/>
      <c r="F7" s="146"/>
      <c r="G7" s="147">
        <f>[2]VOKA_Omrežnina_predrač.2014_2!$AD$12</f>
        <v>-0.83739505597014929</v>
      </c>
      <c r="H7" s="146">
        <f t="shared" ref="H7:H9" si="0">ROUND(G7,4)*1.095</f>
        <v>-0.91695300000000002</v>
      </c>
      <c r="I7" s="148">
        <f>H7-F7</f>
        <v>-0.91695300000000002</v>
      </c>
      <c r="J7" s="149"/>
      <c r="K7" s="239"/>
      <c r="L7" s="240"/>
      <c r="M7" s="240"/>
      <c r="N7" s="240"/>
      <c r="O7" s="241"/>
      <c r="P7" s="193"/>
      <c r="Q7" s="194"/>
      <c r="R7" s="188"/>
      <c r="S7" s="190"/>
      <c r="T7" s="190"/>
      <c r="U7" s="190"/>
      <c r="V7" s="313"/>
    </row>
    <row r="8" spans="1:25" ht="27.75" hidden="1" customHeight="1" outlineLevel="1" x14ac:dyDescent="0.3">
      <c r="A8" s="464"/>
      <c r="B8" s="519"/>
      <c r="C8" s="3" t="s">
        <v>8</v>
      </c>
      <c r="D8" s="76" t="s">
        <v>9</v>
      </c>
      <c r="E8" s="12">
        <v>0.29499999999999998</v>
      </c>
      <c r="F8" s="69">
        <f>ROUND(E8,4)*1.095</f>
        <v>0.32302499999999995</v>
      </c>
      <c r="G8" s="246">
        <f>'[2]VOKA_Predr. obdobje plan 2014'!$AG$72</f>
        <v>0.43321784092427718</v>
      </c>
      <c r="H8" s="69">
        <f t="shared" si="0"/>
        <v>0.47435399999999994</v>
      </c>
      <c r="I8" s="64">
        <f t="shared" ref="I8:I36" si="1">H8-F8</f>
        <v>0.15132899999999999</v>
      </c>
      <c r="J8" s="113">
        <f t="shared" ref="J8:J36" si="2">G8/E8</f>
        <v>1.4685350539806006</v>
      </c>
      <c r="K8" s="195">
        <f>4*$L$2</f>
        <v>15.2</v>
      </c>
      <c r="L8" s="197">
        <f>K8*F8</f>
        <v>4.9099799999999991</v>
      </c>
      <c r="M8" s="197">
        <f>K8*H8</f>
        <v>7.2101807999999989</v>
      </c>
      <c r="N8" s="197">
        <f>M8-L8</f>
        <v>2.3002007999999998</v>
      </c>
      <c r="O8" s="199"/>
      <c r="P8" s="193"/>
      <c r="Q8" s="195">
        <f>4*$L$2</f>
        <v>15.2</v>
      </c>
      <c r="R8" s="195">
        <f>4*$L$2</f>
        <v>15.2</v>
      </c>
      <c r="S8" s="197">
        <f>Q8*F8</f>
        <v>4.9099799999999991</v>
      </c>
      <c r="T8" s="197">
        <f>R8*H8</f>
        <v>7.2101807999999989</v>
      </c>
      <c r="U8" s="197">
        <f>T8-S8</f>
        <v>2.3002007999999998</v>
      </c>
      <c r="V8" s="314"/>
      <c r="X8">
        <f>N8/4</f>
        <v>0.57505019999999996</v>
      </c>
    </row>
    <row r="9" spans="1:25" ht="27.75" hidden="1" customHeight="1" outlineLevel="1" x14ac:dyDescent="0.3">
      <c r="A9" s="464"/>
      <c r="B9" s="519"/>
      <c r="C9" s="4" t="s">
        <v>10</v>
      </c>
      <c r="D9" s="77" t="s">
        <v>9</v>
      </c>
      <c r="E9" s="9">
        <v>6.3799999999999996E-2</v>
      </c>
      <c r="F9" s="70">
        <f>ROUND(E9,4)*1.095</f>
        <v>6.9860999999999993E-2</v>
      </c>
      <c r="G9" s="60">
        <v>6.3799999999999996E-2</v>
      </c>
      <c r="H9" s="70">
        <f t="shared" si="0"/>
        <v>6.9860999999999993E-2</v>
      </c>
      <c r="I9" s="65">
        <f t="shared" si="1"/>
        <v>0</v>
      </c>
      <c r="J9" s="114">
        <f t="shared" si="2"/>
        <v>1</v>
      </c>
      <c r="K9" s="200">
        <f>4*$L$2</f>
        <v>15.2</v>
      </c>
      <c r="L9" s="202">
        <f>K9*F9</f>
        <v>1.0618871999999999</v>
      </c>
      <c r="M9" s="202">
        <f>K9*H9</f>
        <v>1.0618871999999999</v>
      </c>
      <c r="N9" s="202">
        <f>M9-L9</f>
        <v>0</v>
      </c>
      <c r="O9" s="204"/>
      <c r="P9" s="193"/>
      <c r="Q9" s="200">
        <f>4*$L$2</f>
        <v>15.2</v>
      </c>
      <c r="R9" s="200">
        <f>4*$L$2</f>
        <v>15.2</v>
      </c>
      <c r="S9" s="202">
        <f>Q9*F9</f>
        <v>1.0618871999999999</v>
      </c>
      <c r="T9" s="202">
        <f>R9*H9</f>
        <v>1.0618871999999999</v>
      </c>
      <c r="U9" s="202">
        <f>T9-S9</f>
        <v>0</v>
      </c>
      <c r="V9" s="315"/>
    </row>
    <row r="10" spans="1:25" ht="27.75" hidden="1" customHeight="1" outlineLevel="1" x14ac:dyDescent="0.3">
      <c r="A10" s="464"/>
      <c r="B10" s="520"/>
      <c r="C10" s="154" t="s">
        <v>60</v>
      </c>
      <c r="D10" s="139"/>
      <c r="E10" s="150"/>
      <c r="F10" s="140"/>
      <c r="G10" s="150"/>
      <c r="H10" s="140"/>
      <c r="I10" s="151"/>
      <c r="J10" s="163"/>
      <c r="K10" s="205"/>
      <c r="L10" s="207">
        <f>SUM(L5:L9)</f>
        <v>10.030156199999999</v>
      </c>
      <c r="M10" s="207">
        <f t="shared" ref="M10:N10" si="3">SUM(M5:M9)</f>
        <v>10.886270999999999</v>
      </c>
      <c r="N10" s="207">
        <f t="shared" si="3"/>
        <v>0.8561147999999994</v>
      </c>
      <c r="O10" s="254">
        <f t="shared" ref="O10" si="4">M10/L10</f>
        <v>1.0853540845156529</v>
      </c>
      <c r="P10" s="193"/>
      <c r="Q10" s="205"/>
      <c r="R10" s="205"/>
      <c r="S10" s="207">
        <f>SUM(S5:S9)</f>
        <v>6.8081671999999989</v>
      </c>
      <c r="T10" s="207">
        <f t="shared" ref="T10:U10" si="5">SUM(T5:T9)</f>
        <v>10.886270999999999</v>
      </c>
      <c r="U10" s="207">
        <f t="shared" si="5"/>
        <v>4.0781037999999992</v>
      </c>
      <c r="V10" s="316">
        <f t="shared" ref="V10" si="6">T10/S10</f>
        <v>1.5990017107687955</v>
      </c>
    </row>
    <row r="11" spans="1:25" ht="27.75" hidden="1" customHeight="1" outlineLevel="1" x14ac:dyDescent="0.3">
      <c r="A11" s="464"/>
      <c r="B11" s="521" t="s">
        <v>11</v>
      </c>
      <c r="C11" s="143" t="s">
        <v>30</v>
      </c>
      <c r="D11" s="144" t="s">
        <v>7</v>
      </c>
      <c r="E11" s="145">
        <v>3.6331000000000002</v>
      </c>
      <c r="F11" s="146">
        <f t="shared" ref="F11:F14" si="7">ROUND(E11,4)*1.095</f>
        <v>3.9782445000000002</v>
      </c>
      <c r="G11" s="147">
        <f>[2]VOKA_Omrežnina_predrač.2014_2!$Q$12</f>
        <v>3.5094837324898331</v>
      </c>
      <c r="H11" s="146">
        <f t="shared" ref="H11:H14" si="8">ROUND(G11,4)*1.095</f>
        <v>3.8429025000000001</v>
      </c>
      <c r="I11" s="148">
        <f t="shared" si="1"/>
        <v>-0.13534200000000007</v>
      </c>
      <c r="J11" s="149">
        <f t="shared" si="2"/>
        <v>0.96597498898732015</v>
      </c>
      <c r="K11" s="188">
        <v>1</v>
      </c>
      <c r="L11" s="190">
        <f>K11*F11</f>
        <v>3.9782445000000002</v>
      </c>
      <c r="M11" s="190">
        <f>K11*H11</f>
        <v>3.8429025000000001</v>
      </c>
      <c r="N11" s="190">
        <f>M11-L11</f>
        <v>-0.13534200000000007</v>
      </c>
      <c r="O11" s="192"/>
      <c r="P11" s="193"/>
      <c r="Q11" s="194" t="s">
        <v>73</v>
      </c>
      <c r="R11" s="188">
        <v>1</v>
      </c>
      <c r="S11" s="190">
        <v>0.82199999999999995</v>
      </c>
      <c r="T11" s="190">
        <f>R11*H11</f>
        <v>3.8429025000000001</v>
      </c>
      <c r="U11" s="190">
        <f>T11-S11</f>
        <v>3.0209025</v>
      </c>
      <c r="V11" s="313"/>
    </row>
    <row r="12" spans="1:25" ht="27.75" hidden="1" customHeight="1" outlineLevel="1" x14ac:dyDescent="0.3">
      <c r="A12" s="464"/>
      <c r="B12" s="522"/>
      <c r="C12" s="3" t="s">
        <v>8</v>
      </c>
      <c r="D12" s="76" t="s">
        <v>9</v>
      </c>
      <c r="E12" s="12">
        <v>0.21279999999999999</v>
      </c>
      <c r="F12" s="69">
        <f t="shared" si="7"/>
        <v>0.23301599999999997</v>
      </c>
      <c r="G12" s="247">
        <f>'[2]VOKA_Predr. obdobje plan 2014'!$AW$72</f>
        <v>0.28974110730242286</v>
      </c>
      <c r="H12" s="69">
        <f t="shared" si="8"/>
        <v>0.31722149999999999</v>
      </c>
      <c r="I12" s="64">
        <f t="shared" si="1"/>
        <v>8.4205500000000016E-2</v>
      </c>
      <c r="J12" s="113">
        <f t="shared" si="2"/>
        <v>1.3615653538647692</v>
      </c>
      <c r="K12" s="195">
        <f>4*$L$2</f>
        <v>15.2</v>
      </c>
      <c r="L12" s="197">
        <f>K12*F12</f>
        <v>3.5418431999999993</v>
      </c>
      <c r="M12" s="197">
        <f>K12*H12</f>
        <v>4.8217667999999998</v>
      </c>
      <c r="N12" s="197">
        <f>M12-L12</f>
        <v>1.2799236000000005</v>
      </c>
      <c r="O12" s="199"/>
      <c r="P12" s="193"/>
      <c r="Q12" s="195">
        <f>4*$L$2</f>
        <v>15.2</v>
      </c>
      <c r="R12" s="195">
        <f>4*$L$2</f>
        <v>15.2</v>
      </c>
      <c r="S12" s="197">
        <f>Q12*F12</f>
        <v>3.5418431999999993</v>
      </c>
      <c r="T12" s="197">
        <f>R12*H12</f>
        <v>4.8217667999999998</v>
      </c>
      <c r="U12" s="197">
        <f>T12-S12</f>
        <v>1.2799236000000005</v>
      </c>
      <c r="V12" s="314"/>
      <c r="X12">
        <f>N12/4</f>
        <v>0.31998090000000012</v>
      </c>
    </row>
    <row r="13" spans="1:25" ht="27.75" hidden="1" customHeight="1" outlineLevel="1" x14ac:dyDescent="0.3">
      <c r="A13" s="464"/>
      <c r="B13" s="522"/>
      <c r="C13" s="3" t="s">
        <v>42</v>
      </c>
      <c r="D13" s="76" t="s">
        <v>9</v>
      </c>
      <c r="E13" s="12">
        <v>0.52829999999999999</v>
      </c>
      <c r="F13" s="69">
        <f>ROUND(E13,4)*1</f>
        <v>0.52829999999999999</v>
      </c>
      <c r="G13" s="59">
        <v>0.52829999999999999</v>
      </c>
      <c r="H13" s="69">
        <f>ROUND(G13,4)*1</f>
        <v>0.52829999999999999</v>
      </c>
      <c r="I13" s="64">
        <f t="shared" si="1"/>
        <v>0</v>
      </c>
      <c r="J13" s="113">
        <f t="shared" si="2"/>
        <v>1</v>
      </c>
      <c r="K13" s="195">
        <f>4*$L$2</f>
        <v>15.2</v>
      </c>
      <c r="L13" s="197">
        <f>K13*F13</f>
        <v>8.0301599999999986</v>
      </c>
      <c r="M13" s="197">
        <f>K13*H13</f>
        <v>8.0301599999999986</v>
      </c>
      <c r="N13" s="197">
        <f>M13-L13</f>
        <v>0</v>
      </c>
      <c r="O13" s="199"/>
      <c r="P13" s="193"/>
      <c r="Q13" s="195">
        <f>4*$L$2</f>
        <v>15.2</v>
      </c>
      <c r="R13" s="195">
        <f>4*$L$2</f>
        <v>15.2</v>
      </c>
      <c r="S13" s="197">
        <f>Q13*F13</f>
        <v>8.0301599999999986</v>
      </c>
      <c r="T13" s="197">
        <f>R13*H13</f>
        <v>8.0301599999999986</v>
      </c>
      <c r="U13" s="197">
        <f>T13-S13</f>
        <v>0</v>
      </c>
      <c r="V13" s="314"/>
    </row>
    <row r="14" spans="1:25" ht="27.75" hidden="1" customHeight="1" outlineLevel="1" x14ac:dyDescent="0.3">
      <c r="A14" s="464"/>
      <c r="B14" s="523"/>
      <c r="C14" s="180" t="s">
        <v>75</v>
      </c>
      <c r="D14" s="76" t="s">
        <v>9</v>
      </c>
      <c r="E14" s="181">
        <v>48.2</v>
      </c>
      <c r="F14" s="185">
        <f t="shared" si="7"/>
        <v>52.779000000000003</v>
      </c>
      <c r="G14" s="182">
        <v>49.392000000000003</v>
      </c>
      <c r="H14" s="185">
        <f t="shared" si="8"/>
        <v>54.084240000000001</v>
      </c>
      <c r="I14" s="183">
        <f t="shared" si="1"/>
        <v>1.3052399999999977</v>
      </c>
      <c r="J14" s="184">
        <f t="shared" si="2"/>
        <v>1.0247302904564315</v>
      </c>
      <c r="K14" s="210"/>
      <c r="L14" s="212"/>
      <c r="M14" s="212"/>
      <c r="N14" s="214"/>
      <c r="O14" s="216"/>
      <c r="P14" s="193"/>
      <c r="Q14" s="210"/>
      <c r="R14" s="210"/>
      <c r="S14" s="212"/>
      <c r="T14" s="212"/>
      <c r="U14" s="212"/>
      <c r="V14" s="317"/>
    </row>
    <row r="15" spans="1:25" ht="27.75" hidden="1" customHeight="1" outlineLevel="1" x14ac:dyDescent="0.3">
      <c r="A15" s="464"/>
      <c r="B15" s="524"/>
      <c r="C15" s="155" t="s">
        <v>61</v>
      </c>
      <c r="D15" s="141"/>
      <c r="E15" s="152"/>
      <c r="F15" s="142"/>
      <c r="G15" s="152"/>
      <c r="H15" s="142"/>
      <c r="I15" s="153"/>
      <c r="J15" s="164"/>
      <c r="K15" s="219"/>
      <c r="L15" s="223">
        <f>SUM(L11:L13)</f>
        <v>15.550247699999998</v>
      </c>
      <c r="M15" s="223">
        <f t="shared" ref="M15:N15" si="9">SUM(M11:M13)</f>
        <v>16.694829299999999</v>
      </c>
      <c r="N15" s="223">
        <f t="shared" si="9"/>
        <v>1.1445816000000004</v>
      </c>
      <c r="O15" s="312">
        <f>M15/L15</f>
        <v>1.0736053612830876</v>
      </c>
      <c r="P15" s="193"/>
      <c r="Q15" s="219"/>
      <c r="R15" s="219"/>
      <c r="S15" s="223">
        <f>SUM(S11:S13)</f>
        <v>12.394003199999997</v>
      </c>
      <c r="T15" s="223">
        <f t="shared" ref="T15:U15" si="10">SUM(T11:T13)</f>
        <v>16.694829299999999</v>
      </c>
      <c r="U15" s="223">
        <f t="shared" si="10"/>
        <v>4.3008261000000001</v>
      </c>
      <c r="V15" s="318">
        <f>T15/S15-P3</f>
        <v>1.3270086323682733</v>
      </c>
    </row>
    <row r="16" spans="1:25" ht="27.75" hidden="1" customHeight="1" collapsed="1" thickBot="1" x14ac:dyDescent="0.35">
      <c r="A16" s="465"/>
      <c r="B16" s="515" t="s">
        <v>62</v>
      </c>
      <c r="C16" s="516"/>
      <c r="D16" s="517"/>
      <c r="E16" s="157"/>
      <c r="F16" s="158"/>
      <c r="G16" s="159"/>
      <c r="H16" s="158"/>
      <c r="I16" s="160"/>
      <c r="J16" s="165"/>
      <c r="K16" s="226"/>
      <c r="L16" s="228">
        <f>L10+L15</f>
        <v>25.580403899999997</v>
      </c>
      <c r="M16" s="228">
        <f t="shared" ref="M16:N16" si="11">M10+M15</f>
        <v>27.581100299999996</v>
      </c>
      <c r="N16" s="186">
        <f t="shared" si="11"/>
        <v>2.0006963999999998</v>
      </c>
      <c r="O16" s="230">
        <f>M16/L16</f>
        <v>1.0782120723277555</v>
      </c>
      <c r="P16" s="193"/>
      <c r="Q16" s="226"/>
      <c r="R16" s="226"/>
      <c r="S16" s="228">
        <f>S10+S15</f>
        <v>19.202170399999996</v>
      </c>
      <c r="T16" s="228">
        <f t="shared" ref="T16:U16" si="12">T10+T15</f>
        <v>27.581100299999996</v>
      </c>
      <c r="U16" s="186">
        <f t="shared" si="12"/>
        <v>8.3789298999999993</v>
      </c>
      <c r="V16" s="319">
        <f>T16/S16-P3</f>
        <v>1.4163532728571142</v>
      </c>
      <c r="X16" s="2">
        <f>N16/4</f>
        <v>0.50017409999999995</v>
      </c>
      <c r="Y16" s="2">
        <f>U16/4</f>
        <v>2.0947324749999998</v>
      </c>
    </row>
    <row r="17" spans="1:25" ht="27.75" customHeight="1" outlineLevel="1" x14ac:dyDescent="0.3">
      <c r="A17" s="463" t="s">
        <v>12</v>
      </c>
      <c r="B17" s="518" t="s">
        <v>6</v>
      </c>
      <c r="C17" s="132" t="s">
        <v>30</v>
      </c>
      <c r="D17" s="133" t="s">
        <v>7</v>
      </c>
      <c r="E17" s="134">
        <v>3.2275</v>
      </c>
      <c r="F17" s="135">
        <f>ROUND(E17,4)*1.095</f>
        <v>3.5341125</v>
      </c>
      <c r="G17" s="136">
        <f>[2]VOKA_Omrežnina_predrač.2014_2!$P$23</f>
        <v>2.0541620450606586</v>
      </c>
      <c r="H17" s="135">
        <f t="shared" ref="H17:H20" si="13">ROUND(G17,4)*1.095</f>
        <v>2.2493489999999996</v>
      </c>
      <c r="I17" s="137">
        <f t="shared" si="1"/>
        <v>-1.2847635000000004</v>
      </c>
      <c r="J17" s="138">
        <f t="shared" si="2"/>
        <v>0.63645609451918161</v>
      </c>
      <c r="K17" s="231">
        <v>1</v>
      </c>
      <c r="L17" s="233">
        <f>K17*F17</f>
        <v>3.5341125</v>
      </c>
      <c r="M17" s="233">
        <f>K17*H17</f>
        <v>2.2493489999999996</v>
      </c>
      <c r="N17" s="233">
        <f>M17-L17</f>
        <v>-1.2847635000000004</v>
      </c>
      <c r="O17" s="235"/>
      <c r="P17" s="193"/>
      <c r="Q17" s="236" t="s">
        <v>73</v>
      </c>
      <c r="R17" s="231">
        <v>1</v>
      </c>
      <c r="S17" s="233">
        <v>1.0134000000000001</v>
      </c>
      <c r="T17" s="233">
        <f>R17*H17</f>
        <v>2.2493489999999996</v>
      </c>
      <c r="U17" s="233">
        <f>T17-S17</f>
        <v>1.2359489999999995</v>
      </c>
      <c r="V17" s="320"/>
    </row>
    <row r="18" spans="1:25" ht="27.75" customHeight="1" outlineLevel="1" x14ac:dyDescent="0.3">
      <c r="A18" s="464"/>
      <c r="B18" s="519"/>
      <c r="C18" s="143" t="s">
        <v>77</v>
      </c>
      <c r="D18" s="144" t="s">
        <v>7</v>
      </c>
      <c r="E18" s="145"/>
      <c r="F18" s="146"/>
      <c r="G18" s="147">
        <f>[2]VOKA_Omrežnina_predrač.2014_2!$AD$23</f>
        <v>-0.83739505597014929</v>
      </c>
      <c r="H18" s="146">
        <f t="shared" si="13"/>
        <v>-0.91695300000000002</v>
      </c>
      <c r="I18" s="148">
        <f>H18-F18</f>
        <v>-0.91695300000000002</v>
      </c>
      <c r="J18" s="149"/>
      <c r="K18" s="239"/>
      <c r="L18" s="240"/>
      <c r="M18" s="240"/>
      <c r="N18" s="240"/>
      <c r="O18" s="241"/>
      <c r="P18" s="193"/>
      <c r="Q18" s="194"/>
      <c r="R18" s="188">
        <v>1</v>
      </c>
      <c r="S18" s="190"/>
      <c r="T18" s="190">
        <f>R18*H18</f>
        <v>-0.91695300000000002</v>
      </c>
      <c r="U18" s="190">
        <f>T18-S18</f>
        <v>-0.91695300000000002</v>
      </c>
      <c r="V18" s="313"/>
    </row>
    <row r="19" spans="1:25" ht="27.75" customHeight="1" outlineLevel="1" x14ac:dyDescent="0.3">
      <c r="A19" s="464"/>
      <c r="B19" s="519"/>
      <c r="C19" s="3" t="s">
        <v>8</v>
      </c>
      <c r="D19" s="76" t="s">
        <v>9</v>
      </c>
      <c r="E19" s="12">
        <v>0.26219999999999999</v>
      </c>
      <c r="F19" s="69">
        <f>ROUND(E19,4)*1.095</f>
        <v>0.287109</v>
      </c>
      <c r="G19" s="246">
        <f>E19</f>
        <v>0.26219999999999999</v>
      </c>
      <c r="H19" s="69">
        <f t="shared" si="13"/>
        <v>0.287109</v>
      </c>
      <c r="I19" s="64">
        <f t="shared" si="1"/>
        <v>0</v>
      </c>
      <c r="J19" s="113">
        <f t="shared" si="2"/>
        <v>1</v>
      </c>
      <c r="K19" s="195">
        <f>4*$L$2</f>
        <v>15.2</v>
      </c>
      <c r="L19" s="197">
        <f>K19*F19</f>
        <v>4.3640568000000002</v>
      </c>
      <c r="M19" s="197">
        <f>K19*H19</f>
        <v>4.3640568000000002</v>
      </c>
      <c r="N19" s="197">
        <f>M19-L19</f>
        <v>0</v>
      </c>
      <c r="O19" s="199"/>
      <c r="P19" s="193"/>
      <c r="Q19" s="195">
        <f>4*$L$2</f>
        <v>15.2</v>
      </c>
      <c r="R19" s="195">
        <f>4*$L$2</f>
        <v>15.2</v>
      </c>
      <c r="S19" s="197">
        <f>Q19*F19</f>
        <v>4.3640568000000002</v>
      </c>
      <c r="T19" s="197">
        <f>R19*H19</f>
        <v>4.3640568000000002</v>
      </c>
      <c r="U19" s="197">
        <f>T19-S19</f>
        <v>0</v>
      </c>
      <c r="V19" s="314"/>
      <c r="X19">
        <f>N19/4</f>
        <v>0</v>
      </c>
    </row>
    <row r="20" spans="1:25" ht="27.75" customHeight="1" outlineLevel="1" x14ac:dyDescent="0.3">
      <c r="A20" s="464"/>
      <c r="B20" s="519"/>
      <c r="C20" s="4" t="s">
        <v>10</v>
      </c>
      <c r="D20" s="77" t="s">
        <v>9</v>
      </c>
      <c r="E20" s="9">
        <v>6.3799999999999996E-2</v>
      </c>
      <c r="F20" s="70">
        <f>ROUND(E20,4)*1.095</f>
        <v>6.9860999999999993E-2</v>
      </c>
      <c r="G20" s="60">
        <v>6.3799999999999996E-2</v>
      </c>
      <c r="H20" s="70">
        <f t="shared" si="13"/>
        <v>6.9860999999999993E-2</v>
      </c>
      <c r="I20" s="65">
        <f t="shared" si="1"/>
        <v>0</v>
      </c>
      <c r="J20" s="114">
        <f t="shared" si="2"/>
        <v>1</v>
      </c>
      <c r="K20" s="200">
        <f>4*$L$2</f>
        <v>15.2</v>
      </c>
      <c r="L20" s="202">
        <f>K20*F20</f>
        <v>1.0618871999999999</v>
      </c>
      <c r="M20" s="202">
        <f>K20*H20</f>
        <v>1.0618871999999999</v>
      </c>
      <c r="N20" s="202">
        <f>M20-L20</f>
        <v>0</v>
      </c>
      <c r="O20" s="204"/>
      <c r="P20" s="193"/>
      <c r="Q20" s="200">
        <f>4*$L$2</f>
        <v>15.2</v>
      </c>
      <c r="R20" s="200">
        <f>4*$L$2</f>
        <v>15.2</v>
      </c>
      <c r="S20" s="202">
        <f>Q20*F20</f>
        <v>1.0618871999999999</v>
      </c>
      <c r="T20" s="202">
        <f>R20*H20</f>
        <v>1.0618871999999999</v>
      </c>
      <c r="U20" s="202">
        <f>T20-S20</f>
        <v>0</v>
      </c>
      <c r="V20" s="315"/>
    </row>
    <row r="21" spans="1:25" ht="27.75" customHeight="1" outlineLevel="1" thickBot="1" x14ac:dyDescent="0.35">
      <c r="A21" s="464"/>
      <c r="B21" s="520"/>
      <c r="C21" s="154" t="s">
        <v>60</v>
      </c>
      <c r="D21" s="139"/>
      <c r="E21" s="150"/>
      <c r="F21" s="140"/>
      <c r="G21" s="150"/>
      <c r="H21" s="140"/>
      <c r="I21" s="151"/>
      <c r="J21" s="163"/>
      <c r="K21" s="205"/>
      <c r="L21" s="207">
        <f>SUM(L17:L20)</f>
        <v>8.9600565000000003</v>
      </c>
      <c r="M21" s="207">
        <f t="shared" ref="M21:N21" si="14">SUM(M17:M20)</f>
        <v>7.6752929999999999</v>
      </c>
      <c r="N21" s="207">
        <f t="shared" si="14"/>
        <v>-1.2847635000000004</v>
      </c>
      <c r="O21" s="254">
        <f t="shared" ref="O21" si="15">M21/L21</f>
        <v>0.85661212069365855</v>
      </c>
      <c r="P21" s="193"/>
      <c r="Q21" s="205"/>
      <c r="R21" s="205"/>
      <c r="S21" s="207">
        <f>SUM(S17:S20)</f>
        <v>6.4393440000000002</v>
      </c>
      <c r="T21" s="207">
        <f t="shared" ref="T21:U21" si="16">SUM(T17:T20)</f>
        <v>6.7583399999999996</v>
      </c>
      <c r="U21" s="207">
        <f t="shared" si="16"/>
        <v>0.3189959999999995</v>
      </c>
      <c r="V21" s="316">
        <f t="shared" ref="V21" si="17">T21/S21</f>
        <v>1.0495385865392499</v>
      </c>
    </row>
    <row r="22" spans="1:25" ht="27.75" customHeight="1" outlineLevel="1" x14ac:dyDescent="0.3">
      <c r="A22" s="464"/>
      <c r="B22" s="521" t="s">
        <v>11</v>
      </c>
      <c r="C22" s="143" t="s">
        <v>30</v>
      </c>
      <c r="D22" s="144" t="s">
        <v>7</v>
      </c>
      <c r="E22" s="145">
        <v>2.9375</v>
      </c>
      <c r="F22" s="146">
        <f>ROUND(E22,4)*1.095</f>
        <v>3.2165624999999998</v>
      </c>
      <c r="G22" s="147">
        <f>[2]VOKA_Omrežnina_predrač.2014_2!$Q$23</f>
        <v>2.5634939341421146</v>
      </c>
      <c r="H22" s="146">
        <f t="shared" ref="H22:H29" si="18">ROUND(G22,4)*1.095</f>
        <v>2.8070324999999996</v>
      </c>
      <c r="I22" s="148">
        <f t="shared" si="1"/>
        <v>-0.40953000000000017</v>
      </c>
      <c r="J22" s="149">
        <f t="shared" si="2"/>
        <v>0.87267878609093263</v>
      </c>
      <c r="K22" s="188">
        <v>1</v>
      </c>
      <c r="L22" s="190">
        <f>K22*F22</f>
        <v>3.2165624999999998</v>
      </c>
      <c r="M22" s="190">
        <f>K22*H22</f>
        <v>2.8070324999999996</v>
      </c>
      <c r="N22" s="190">
        <f>M22-L22</f>
        <v>-0.40953000000000017</v>
      </c>
      <c r="O22" s="192"/>
      <c r="P22" s="193"/>
      <c r="Q22" s="236" t="s">
        <v>73</v>
      </c>
      <c r="R22" s="188">
        <v>1</v>
      </c>
      <c r="S22" s="190">
        <v>0.92320000000000002</v>
      </c>
      <c r="T22" s="190">
        <f>R22*H22</f>
        <v>2.8070324999999996</v>
      </c>
      <c r="U22" s="190">
        <f>T22-S22</f>
        <v>1.8838324999999996</v>
      </c>
      <c r="V22" s="313"/>
    </row>
    <row r="23" spans="1:25" ht="27.75" customHeight="1" outlineLevel="1" x14ac:dyDescent="0.3">
      <c r="A23" s="464"/>
      <c r="B23" s="522"/>
      <c r="C23" s="3" t="s">
        <v>8</v>
      </c>
      <c r="D23" s="76" t="s">
        <v>9</v>
      </c>
      <c r="E23" s="12">
        <v>0.21460000000000001</v>
      </c>
      <c r="F23" s="69">
        <f>ROUND(E23,4)*1.095</f>
        <v>0.234987</v>
      </c>
      <c r="G23" s="247">
        <f>E23</f>
        <v>0.21460000000000001</v>
      </c>
      <c r="H23" s="69">
        <f t="shared" si="18"/>
        <v>0.234987</v>
      </c>
      <c r="I23" s="64">
        <f t="shared" si="1"/>
        <v>0</v>
      </c>
      <c r="J23" s="113">
        <f t="shared" si="2"/>
        <v>1</v>
      </c>
      <c r="K23" s="195">
        <f>4*$L$2</f>
        <v>15.2</v>
      </c>
      <c r="L23" s="197">
        <f>K23*F23</f>
        <v>3.5718023999999997</v>
      </c>
      <c r="M23" s="197">
        <f>K23*H23</f>
        <v>3.5718023999999997</v>
      </c>
      <c r="N23" s="197">
        <f>M23-L23</f>
        <v>0</v>
      </c>
      <c r="O23" s="199"/>
      <c r="P23" s="193"/>
      <c r="Q23" s="195">
        <f>4*$L$2</f>
        <v>15.2</v>
      </c>
      <c r="R23" s="195">
        <f>4*$L$2</f>
        <v>15.2</v>
      </c>
      <c r="S23" s="197">
        <f>Q23*F23</f>
        <v>3.5718023999999997</v>
      </c>
      <c r="T23" s="197">
        <f>R23*H23</f>
        <v>3.5718023999999997</v>
      </c>
      <c r="U23" s="197">
        <f>T23-S23</f>
        <v>0</v>
      </c>
      <c r="V23" s="314"/>
      <c r="X23">
        <f>N23/4</f>
        <v>0</v>
      </c>
    </row>
    <row r="24" spans="1:25" ht="27.75" customHeight="1" outlineLevel="1" x14ac:dyDescent="0.3">
      <c r="A24" s="464"/>
      <c r="B24" s="522"/>
      <c r="C24" s="4" t="s">
        <v>42</v>
      </c>
      <c r="D24" s="77" t="s">
        <v>9</v>
      </c>
      <c r="E24" s="9">
        <v>0.52829999999999999</v>
      </c>
      <c r="F24" s="70">
        <f>ROUND(E24,4)*1</f>
        <v>0.52829999999999999</v>
      </c>
      <c r="G24" s="60">
        <v>0.52829999999999999</v>
      </c>
      <c r="H24" s="70">
        <f>ROUND(G24,4)*1</f>
        <v>0.52829999999999999</v>
      </c>
      <c r="I24" s="65">
        <f t="shared" si="1"/>
        <v>0</v>
      </c>
      <c r="J24" s="114">
        <f t="shared" si="2"/>
        <v>1</v>
      </c>
      <c r="K24" s="259">
        <f>4*$L$2</f>
        <v>15.2</v>
      </c>
      <c r="L24" s="214">
        <f>K24*F24</f>
        <v>8.0301599999999986</v>
      </c>
      <c r="M24" s="214">
        <f>K24*H24</f>
        <v>8.0301599999999986</v>
      </c>
      <c r="N24" s="214">
        <f>M24-L24</f>
        <v>0</v>
      </c>
      <c r="O24" s="257"/>
      <c r="P24" s="193"/>
      <c r="Q24" s="195">
        <f>4*$L$2</f>
        <v>15.2</v>
      </c>
      <c r="R24" s="195">
        <f>4*$L$2</f>
        <v>15.2</v>
      </c>
      <c r="S24" s="197">
        <f>Q24*F24</f>
        <v>8.0301599999999986</v>
      </c>
      <c r="T24" s="197">
        <f>R24*H24</f>
        <v>8.0301599999999986</v>
      </c>
      <c r="U24" s="197">
        <f>T24-S24</f>
        <v>0</v>
      </c>
      <c r="V24" s="314"/>
    </row>
    <row r="25" spans="1:25" ht="27.75" hidden="1" customHeight="1" outlineLevel="1" x14ac:dyDescent="0.3">
      <c r="A25" s="464"/>
      <c r="B25" s="535"/>
      <c r="C25" s="180" t="s">
        <v>75</v>
      </c>
      <c r="D25" s="262" t="s">
        <v>9</v>
      </c>
      <c r="E25" s="181">
        <v>48.2</v>
      </c>
      <c r="F25" s="185">
        <f>ROUND(E25,4)*1.095</f>
        <v>52.779000000000003</v>
      </c>
      <c r="G25" s="182">
        <v>49.392000000000003</v>
      </c>
      <c r="H25" s="185">
        <f t="shared" si="18"/>
        <v>54.084240000000001</v>
      </c>
      <c r="I25" s="183">
        <f t="shared" si="1"/>
        <v>1.3052399999999977</v>
      </c>
      <c r="J25" s="184">
        <f t="shared" si="2"/>
        <v>1.0247302904564315</v>
      </c>
      <c r="K25" s="210"/>
      <c r="L25" s="212"/>
      <c r="M25" s="212"/>
      <c r="N25" s="212"/>
      <c r="O25" s="300"/>
      <c r="P25" s="193"/>
      <c r="Q25" s="260"/>
      <c r="R25" s="260"/>
      <c r="S25" s="214"/>
      <c r="T25" s="214"/>
      <c r="U25" s="214"/>
      <c r="V25" s="322"/>
    </row>
    <row r="26" spans="1:25" ht="27.75" customHeight="1" outlineLevel="1" x14ac:dyDescent="0.3">
      <c r="A26" s="464"/>
      <c r="B26" s="255"/>
      <c r="C26" s="155" t="s">
        <v>92</v>
      </c>
      <c r="D26" s="141"/>
      <c r="E26" s="152"/>
      <c r="F26" s="142"/>
      <c r="G26" s="152"/>
      <c r="H26" s="142"/>
      <c r="I26" s="153"/>
      <c r="J26" s="164"/>
      <c r="K26" s="219"/>
      <c r="L26" s="221">
        <f>SUM(L22:L24)</f>
        <v>14.818524899999998</v>
      </c>
      <c r="M26" s="221">
        <f>SUM(M22:M24)</f>
        <v>14.408994899999998</v>
      </c>
      <c r="N26" s="221">
        <f>SUM(N22:N24)</f>
        <v>-0.40953000000000017</v>
      </c>
      <c r="O26" s="225">
        <f>M26/L26</f>
        <v>0.97236364599286129</v>
      </c>
      <c r="P26" s="193"/>
      <c r="Q26" s="258"/>
      <c r="R26" s="258"/>
      <c r="S26" s="221">
        <f>SUM(S22:S24)</f>
        <v>12.525162399999999</v>
      </c>
      <c r="T26" s="221">
        <f>SUM(T22:T24)</f>
        <v>14.408994899999998</v>
      </c>
      <c r="U26" s="221">
        <f>SUM(U22:U24)</f>
        <v>1.8838324999999996</v>
      </c>
      <c r="V26" s="323">
        <f>T26/S26</f>
        <v>1.1504038382767794</v>
      </c>
    </row>
    <row r="27" spans="1:25" ht="27.75" customHeight="1" outlineLevel="1" x14ac:dyDescent="0.3">
      <c r="A27" s="464"/>
      <c r="B27" s="544" t="s">
        <v>96</v>
      </c>
      <c r="C27" s="263" t="s">
        <v>30</v>
      </c>
      <c r="D27" s="256" t="s">
        <v>7</v>
      </c>
      <c r="E27" s="538"/>
      <c r="F27" s="539"/>
      <c r="G27" s="264">
        <f>[2]VOKA_Omrežnina_predrač.2014_2!$R$23</f>
        <v>4.4609800000000002</v>
      </c>
      <c r="H27" s="265">
        <f t="shared" si="18"/>
        <v>4.8847950000000004</v>
      </c>
      <c r="I27" s="266">
        <f t="shared" si="1"/>
        <v>4.8847950000000004</v>
      </c>
      <c r="J27" s="267"/>
      <c r="K27" s="268">
        <v>1</v>
      </c>
      <c r="L27" s="289"/>
      <c r="M27" s="289">
        <f t="shared" ref="M27:M30" si="19">K27*H27</f>
        <v>4.8847950000000004</v>
      </c>
      <c r="N27" s="289">
        <f t="shared" ref="N27:N29" si="20">M27-L27</f>
        <v>4.8847950000000004</v>
      </c>
      <c r="O27" s="290"/>
      <c r="P27" s="193"/>
      <c r="Q27" s="194"/>
      <c r="R27" s="188"/>
      <c r="S27" s="190"/>
      <c r="T27" s="190"/>
      <c r="U27" s="190"/>
      <c r="V27" s="313"/>
    </row>
    <row r="28" spans="1:25" ht="27.75" customHeight="1" outlineLevel="1" x14ac:dyDescent="0.3">
      <c r="A28" s="464"/>
      <c r="B28" s="523"/>
      <c r="C28" s="143" t="s">
        <v>97</v>
      </c>
      <c r="D28" s="283" t="s">
        <v>7</v>
      </c>
      <c r="E28" s="540"/>
      <c r="F28" s="541"/>
      <c r="G28" s="273">
        <f>[2]VOKA_Omrežnina_predrač.2014_2!$AS$22</f>
        <v>-2.2305000000000001</v>
      </c>
      <c r="H28" s="274">
        <f t="shared" si="18"/>
        <v>-2.4423975000000002</v>
      </c>
      <c r="I28" s="275"/>
      <c r="J28" s="276"/>
      <c r="K28" s="277">
        <v>1</v>
      </c>
      <c r="L28" s="278"/>
      <c r="M28" s="278">
        <f t="shared" si="19"/>
        <v>-2.4423975000000002</v>
      </c>
      <c r="N28" s="278">
        <f t="shared" si="20"/>
        <v>-2.4423975000000002</v>
      </c>
      <c r="O28" s="279"/>
      <c r="P28" s="193"/>
      <c r="Q28" s="280"/>
      <c r="R28" s="281"/>
      <c r="S28" s="282"/>
      <c r="T28" s="282"/>
      <c r="U28" s="282"/>
      <c r="V28" s="324"/>
    </row>
    <row r="29" spans="1:25" ht="27.75" customHeight="1" outlineLevel="1" x14ac:dyDescent="0.3">
      <c r="A29" s="464"/>
      <c r="B29" s="523"/>
      <c r="C29" s="3" t="s">
        <v>8</v>
      </c>
      <c r="D29" s="76" t="s">
        <v>9</v>
      </c>
      <c r="E29" s="542"/>
      <c r="F29" s="543"/>
      <c r="G29" s="247">
        <f>'[2]VOKA_Predr. obdobje plan 2014'!$BR$72</f>
        <v>0.70669999999999999</v>
      </c>
      <c r="H29" s="69">
        <f t="shared" si="18"/>
        <v>0.77383649999999993</v>
      </c>
      <c r="I29" s="64">
        <f t="shared" si="1"/>
        <v>0.77383649999999993</v>
      </c>
      <c r="J29" s="113"/>
      <c r="K29" s="292">
        <f>4*$L$2</f>
        <v>15.2</v>
      </c>
      <c r="L29" s="293"/>
      <c r="M29" s="293">
        <f t="shared" si="19"/>
        <v>11.762314799999999</v>
      </c>
      <c r="N29" s="293">
        <f t="shared" si="20"/>
        <v>11.762314799999999</v>
      </c>
      <c r="O29" s="199"/>
      <c r="P29" s="193"/>
      <c r="Q29" s="261"/>
      <c r="R29" s="259"/>
      <c r="S29" s="269"/>
      <c r="T29" s="269"/>
      <c r="U29" s="269"/>
      <c r="V29" s="325"/>
    </row>
    <row r="30" spans="1:25" ht="27.75" customHeight="1" outlineLevel="1" x14ac:dyDescent="0.3">
      <c r="A30" s="464"/>
      <c r="B30" s="524"/>
      <c r="C30" s="301" t="s">
        <v>99</v>
      </c>
      <c r="D30" s="288" t="s">
        <v>9</v>
      </c>
      <c r="E30" s="286"/>
      <c r="F30" s="287"/>
      <c r="G30" s="294">
        <v>5.28E-2</v>
      </c>
      <c r="H30" s="295">
        <f>ROUND(G30,4)*1</f>
        <v>5.28E-2</v>
      </c>
      <c r="I30" s="296">
        <f t="shared" si="1"/>
        <v>5.28E-2</v>
      </c>
      <c r="J30" s="297"/>
      <c r="K30" s="298">
        <f>4*$L$2</f>
        <v>15.2</v>
      </c>
      <c r="L30" s="291">
        <f>L24</f>
        <v>8.0301599999999986</v>
      </c>
      <c r="M30" s="291">
        <f t="shared" si="19"/>
        <v>0.80255999999999994</v>
      </c>
      <c r="N30" s="291">
        <f>M30-L30</f>
        <v>-7.2275999999999989</v>
      </c>
      <c r="O30" s="272">
        <f>N30/L30</f>
        <v>-0.90005678591709259</v>
      </c>
      <c r="P30" s="193"/>
      <c r="Q30" s="194"/>
      <c r="R30" s="188"/>
      <c r="S30" s="190"/>
      <c r="T30" s="190"/>
      <c r="U30" s="190"/>
      <c r="V30" s="313"/>
    </row>
    <row r="31" spans="1:25" ht="27.75" customHeight="1" outlineLevel="1" x14ac:dyDescent="0.3">
      <c r="A31" s="464"/>
      <c r="B31" s="536" t="s">
        <v>91</v>
      </c>
      <c r="C31" s="537"/>
      <c r="D31" s="302"/>
      <c r="E31" s="303"/>
      <c r="F31" s="304"/>
      <c r="G31" s="305"/>
      <c r="H31" s="306"/>
      <c r="I31" s="307"/>
      <c r="J31" s="308"/>
      <c r="K31" s="309"/>
      <c r="L31" s="310"/>
      <c r="M31" s="299">
        <f>SUM(M27:M30)</f>
        <v>15.007272299999999</v>
      </c>
      <c r="N31" s="299">
        <f>SUM(N27:N30)</f>
        <v>6.9771122999999999</v>
      </c>
      <c r="O31" s="311"/>
      <c r="P31" s="193"/>
      <c r="Q31" s="210"/>
      <c r="R31" s="210"/>
      <c r="S31" s="270"/>
      <c r="T31" s="271"/>
      <c r="U31" s="271"/>
      <c r="V31" s="326"/>
    </row>
    <row r="32" spans="1:25" ht="27.75" customHeight="1" thickBot="1" x14ac:dyDescent="0.35">
      <c r="A32" s="465"/>
      <c r="B32" s="515" t="s">
        <v>93</v>
      </c>
      <c r="C32" s="516"/>
      <c r="D32" s="517"/>
      <c r="E32" s="157"/>
      <c r="F32" s="158"/>
      <c r="G32" s="159"/>
      <c r="H32" s="158"/>
      <c r="I32" s="160"/>
      <c r="J32" s="165"/>
      <c r="K32" s="226"/>
      <c r="L32" s="228">
        <f>L21+L26</f>
        <v>23.7785814</v>
      </c>
      <c r="M32" s="228">
        <f>M21+M26</f>
        <v>22.0842879</v>
      </c>
      <c r="N32" s="186">
        <f>N21+N26</f>
        <v>-1.6942935000000006</v>
      </c>
      <c r="O32" s="230">
        <f>M32/L32</f>
        <v>0.92874707403697343</v>
      </c>
      <c r="P32" s="193"/>
      <c r="Q32" s="226"/>
      <c r="R32" s="226"/>
      <c r="S32" s="228">
        <f>S21+S26</f>
        <v>18.964506399999998</v>
      </c>
      <c r="T32" s="228">
        <f>T21+T26</f>
        <v>21.167334899999997</v>
      </c>
      <c r="U32" s="186">
        <f>U21+U26</f>
        <v>2.202828499999999</v>
      </c>
      <c r="V32" s="319">
        <f>T32/S32</f>
        <v>1.1161553300432854</v>
      </c>
      <c r="X32" s="2">
        <f>N32/4</f>
        <v>-0.42357337500000014</v>
      </c>
      <c r="Y32" s="2">
        <f>U32/4</f>
        <v>0.55070712499999974</v>
      </c>
    </row>
    <row r="33" spans="1:25" ht="27.75" hidden="1" customHeight="1" outlineLevel="1" x14ac:dyDescent="0.3">
      <c r="A33" s="459" t="s">
        <v>13</v>
      </c>
      <c r="B33" s="518" t="s">
        <v>6</v>
      </c>
      <c r="C33" s="132" t="s">
        <v>30</v>
      </c>
      <c r="D33" s="133" t="s">
        <v>7</v>
      </c>
      <c r="E33" s="134">
        <v>1.792</v>
      </c>
      <c r="F33" s="135">
        <f>ROUND(E33,4)*1.095</f>
        <v>1.96224</v>
      </c>
      <c r="G33" s="136">
        <f>[2]VOKA_Omrežnina_predrač.2014_2!$P$34</f>
        <v>2.063210196586736</v>
      </c>
      <c r="H33" s="135">
        <f t="shared" ref="H33:H36" si="21">ROUND(G33,4)*1.095</f>
        <v>2.259204</v>
      </c>
      <c r="I33" s="137">
        <f t="shared" si="1"/>
        <v>0.29696400000000001</v>
      </c>
      <c r="J33" s="138">
        <f t="shared" si="2"/>
        <v>1.1513449757738481</v>
      </c>
      <c r="K33" s="231">
        <v>1</v>
      </c>
      <c r="L33" s="233">
        <f>K33*F33</f>
        <v>1.96224</v>
      </c>
      <c r="M33" s="233">
        <f>K33*H33</f>
        <v>2.259204</v>
      </c>
      <c r="N33" s="233">
        <f>M33-L33</f>
        <v>0.29696400000000001</v>
      </c>
      <c r="O33" s="235"/>
      <c r="P33" s="193"/>
      <c r="Q33" s="236" t="s">
        <v>73</v>
      </c>
      <c r="R33" s="231">
        <v>1</v>
      </c>
      <c r="S33" s="233">
        <v>0.72589999999999999</v>
      </c>
      <c r="T33" s="233">
        <f>R33*H33</f>
        <v>2.259204</v>
      </c>
      <c r="U33" s="233">
        <f>T33-S33</f>
        <v>1.533304</v>
      </c>
      <c r="V33" s="320"/>
    </row>
    <row r="34" spans="1:25" ht="27.75" hidden="1" customHeight="1" outlineLevel="1" x14ac:dyDescent="0.3">
      <c r="A34" s="460"/>
      <c r="B34" s="519"/>
      <c r="C34" s="143" t="s">
        <v>77</v>
      </c>
      <c r="D34" s="144" t="s">
        <v>7</v>
      </c>
      <c r="E34" s="145"/>
      <c r="F34" s="146"/>
      <c r="G34" s="147">
        <f>[2]VOKA_Omrežnina_predrač.2014_2!$AD$34</f>
        <v>-0.83739505597014929</v>
      </c>
      <c r="H34" s="146">
        <f t="shared" si="21"/>
        <v>-0.91695300000000002</v>
      </c>
      <c r="I34" s="148">
        <f>H34-F34</f>
        <v>-0.91695300000000002</v>
      </c>
      <c r="J34" s="149"/>
      <c r="K34" s="239"/>
      <c r="L34" s="240"/>
      <c r="M34" s="240"/>
      <c r="N34" s="240"/>
      <c r="O34" s="241"/>
      <c r="P34" s="193"/>
      <c r="Q34" s="194"/>
      <c r="R34" s="188"/>
      <c r="S34" s="190"/>
      <c r="T34" s="190"/>
      <c r="U34" s="190"/>
      <c r="V34" s="313"/>
    </row>
    <row r="35" spans="1:25" ht="27.75" hidden="1" customHeight="1" outlineLevel="1" x14ac:dyDescent="0.3">
      <c r="A35" s="460"/>
      <c r="B35" s="519"/>
      <c r="C35" s="3" t="s">
        <v>8</v>
      </c>
      <c r="D35" s="76" t="s">
        <v>9</v>
      </c>
      <c r="E35" s="12">
        <v>0.27300000000000002</v>
      </c>
      <c r="F35" s="69">
        <f>ROUND(E35,4)*1.095</f>
        <v>0.29893500000000001</v>
      </c>
      <c r="G35" s="246">
        <f>'[2]VOKA_Predr. obdobje plan 2014'!$AI$72</f>
        <v>0.4328617480159232</v>
      </c>
      <c r="H35" s="69">
        <f t="shared" si="21"/>
        <v>0.47402549999999999</v>
      </c>
      <c r="I35" s="64">
        <f t="shared" si="1"/>
        <v>0.17509049999999998</v>
      </c>
      <c r="J35" s="113">
        <f t="shared" si="2"/>
        <v>1.585574168556495</v>
      </c>
      <c r="K35" s="195">
        <f>4*$L$2</f>
        <v>15.2</v>
      </c>
      <c r="L35" s="197">
        <f>K35*F35</f>
        <v>4.543812</v>
      </c>
      <c r="M35" s="197">
        <f>K35*H35</f>
        <v>7.2051875999999995</v>
      </c>
      <c r="N35" s="197">
        <f>M35-L35</f>
        <v>2.6613755999999995</v>
      </c>
      <c r="O35" s="199"/>
      <c r="P35" s="193"/>
      <c r="Q35" s="195">
        <f>4*$L$2</f>
        <v>15.2</v>
      </c>
      <c r="R35" s="195">
        <f>4*$L$2</f>
        <v>15.2</v>
      </c>
      <c r="S35" s="197">
        <f>Q35*F35</f>
        <v>4.543812</v>
      </c>
      <c r="T35" s="197">
        <f>R35*H35</f>
        <v>7.2051875999999995</v>
      </c>
      <c r="U35" s="197">
        <f>T35-S35</f>
        <v>2.6613755999999995</v>
      </c>
      <c r="V35" s="314"/>
      <c r="X35">
        <f>N35/4</f>
        <v>0.66534389999999988</v>
      </c>
    </row>
    <row r="36" spans="1:25" ht="27.75" hidden="1" customHeight="1" outlineLevel="1" x14ac:dyDescent="0.3">
      <c r="A36" s="460"/>
      <c r="B36" s="519"/>
      <c r="C36" s="4" t="s">
        <v>10</v>
      </c>
      <c r="D36" s="77" t="s">
        <v>9</v>
      </c>
      <c r="E36" s="9">
        <v>6.3799999999999996E-2</v>
      </c>
      <c r="F36" s="70">
        <f>ROUND(E36,4)*1.095</f>
        <v>6.9860999999999993E-2</v>
      </c>
      <c r="G36" s="60">
        <v>6.3799999999999996E-2</v>
      </c>
      <c r="H36" s="70">
        <f t="shared" si="21"/>
        <v>6.9860999999999993E-2</v>
      </c>
      <c r="I36" s="65">
        <f t="shared" si="1"/>
        <v>0</v>
      </c>
      <c r="J36" s="114">
        <f t="shared" si="2"/>
        <v>1</v>
      </c>
      <c r="K36" s="200">
        <f>4*$L$2</f>
        <v>15.2</v>
      </c>
      <c r="L36" s="202">
        <f>K36*F36</f>
        <v>1.0618871999999999</v>
      </c>
      <c r="M36" s="202">
        <f>K36*H36</f>
        <v>1.0618871999999999</v>
      </c>
      <c r="N36" s="202">
        <f>M36-L36</f>
        <v>0</v>
      </c>
      <c r="O36" s="204"/>
      <c r="P36" s="193"/>
      <c r="Q36" s="200">
        <f>4*$L$2</f>
        <v>15.2</v>
      </c>
      <c r="R36" s="200">
        <f>4*$L$2</f>
        <v>15.2</v>
      </c>
      <c r="S36" s="202">
        <f>Q36*F36</f>
        <v>1.0618871999999999</v>
      </c>
      <c r="T36" s="202">
        <f>R36*H36</f>
        <v>1.0618871999999999</v>
      </c>
      <c r="U36" s="202">
        <f>T36-S36</f>
        <v>0</v>
      </c>
      <c r="V36" s="315"/>
    </row>
    <row r="37" spans="1:25" ht="27.75" hidden="1" customHeight="1" outlineLevel="1" x14ac:dyDescent="0.3">
      <c r="A37" s="460"/>
      <c r="B37" s="520"/>
      <c r="C37" s="154" t="s">
        <v>60</v>
      </c>
      <c r="D37" s="139"/>
      <c r="E37" s="152"/>
      <c r="F37" s="142"/>
      <c r="G37" s="152"/>
      <c r="H37" s="142"/>
      <c r="I37" s="153"/>
      <c r="J37" s="163"/>
      <c r="K37" s="205"/>
      <c r="L37" s="207">
        <f>SUM(L33:L36)</f>
        <v>7.5679392000000005</v>
      </c>
      <c r="M37" s="207">
        <f t="shared" ref="M37:N37" si="22">SUM(M33:M36)</f>
        <v>10.526278799999998</v>
      </c>
      <c r="N37" s="207">
        <f t="shared" si="22"/>
        <v>2.9583395999999995</v>
      </c>
      <c r="O37" s="209">
        <f>M37/L37</f>
        <v>1.3909042503935547</v>
      </c>
      <c r="P37" s="193"/>
      <c r="Q37" s="205"/>
      <c r="R37" s="205"/>
      <c r="S37" s="207">
        <f>SUM(S33:S36)</f>
        <v>6.3315992000000003</v>
      </c>
      <c r="T37" s="207">
        <f t="shared" ref="T37:U37" si="23">SUM(T33:T36)</f>
        <v>10.526278799999998</v>
      </c>
      <c r="U37" s="207">
        <f t="shared" si="23"/>
        <v>4.1946795999999997</v>
      </c>
      <c r="V37" s="321">
        <f>T37/S37</f>
        <v>1.6624992308420277</v>
      </c>
    </row>
    <row r="38" spans="1:25" ht="27.75" hidden="1" customHeight="1" thickBot="1" x14ac:dyDescent="0.35">
      <c r="A38" s="461"/>
      <c r="B38" s="515" t="s">
        <v>62</v>
      </c>
      <c r="C38" s="516"/>
      <c r="D38" s="517"/>
      <c r="E38" s="157"/>
      <c r="F38" s="158"/>
      <c r="G38" s="159"/>
      <c r="H38" s="158"/>
      <c r="I38" s="160"/>
      <c r="J38" s="165"/>
      <c r="K38" s="226"/>
      <c r="L38" s="228">
        <f>L37</f>
        <v>7.5679392000000005</v>
      </c>
      <c r="M38" s="228">
        <f t="shared" ref="M38:N38" si="24">M37</f>
        <v>10.526278799999998</v>
      </c>
      <c r="N38" s="187">
        <f t="shared" si="24"/>
        <v>2.9583395999999995</v>
      </c>
      <c r="O38" s="230">
        <f>M38/L38</f>
        <v>1.3909042503935547</v>
      </c>
      <c r="P38" s="193"/>
      <c r="Q38" s="226"/>
      <c r="R38" s="226"/>
      <c r="S38" s="228">
        <f>S37</f>
        <v>6.3315992000000003</v>
      </c>
      <c r="T38" s="228">
        <f t="shared" ref="T38:U38" si="25">T37</f>
        <v>10.526278799999998</v>
      </c>
      <c r="U38" s="186">
        <f t="shared" si="25"/>
        <v>4.1946795999999997</v>
      </c>
      <c r="V38" s="319">
        <f>T38/S38</f>
        <v>1.6624992308420277</v>
      </c>
      <c r="X38" s="2">
        <f>N38/4</f>
        <v>0.73958489999999988</v>
      </c>
      <c r="Y38" s="2">
        <f>U38/4</f>
        <v>1.0486698999999999</v>
      </c>
    </row>
    <row r="39" spans="1:25" ht="24.75" customHeight="1" x14ac:dyDescent="0.25">
      <c r="A39" s="156" t="s">
        <v>45</v>
      </c>
      <c r="B39" s="527" t="s">
        <v>95</v>
      </c>
      <c r="C39" s="527"/>
      <c r="E39" s="527" t="s">
        <v>98</v>
      </c>
      <c r="F39" s="527"/>
      <c r="K39" s="533" t="s">
        <v>98</v>
      </c>
      <c r="L39" s="534"/>
      <c r="M39" s="534"/>
    </row>
    <row r="40" spans="1:25" hidden="1" x14ac:dyDescent="0.25"/>
    <row r="41" spans="1:25" hidden="1" x14ac:dyDescent="0.25">
      <c r="B41" s="252" t="s">
        <v>89</v>
      </c>
      <c r="C41" s="253"/>
    </row>
    <row r="42" spans="1:25" hidden="1" x14ac:dyDescent="0.25">
      <c r="B42" t="s">
        <v>86</v>
      </c>
      <c r="C42" t="s">
        <v>88</v>
      </c>
      <c r="N42" s="2">
        <f>N5+N11</f>
        <v>-1.5794280000000005</v>
      </c>
      <c r="U42" s="2">
        <f>U5+U7+U11</f>
        <v>4.7988055000000003</v>
      </c>
    </row>
    <row r="43" spans="1:25" hidden="1" x14ac:dyDescent="0.25">
      <c r="B43" t="s">
        <v>12</v>
      </c>
      <c r="C43" t="s">
        <v>88</v>
      </c>
      <c r="N43" s="2">
        <f>N17+N22</f>
        <v>-1.6942935000000006</v>
      </c>
      <c r="U43" s="2">
        <f>U17+U18+U22</f>
        <v>2.202828499999999</v>
      </c>
    </row>
    <row r="44" spans="1:25" hidden="1" x14ac:dyDescent="0.25">
      <c r="B44" t="s">
        <v>13</v>
      </c>
      <c r="C44" t="s">
        <v>88</v>
      </c>
      <c r="N44" s="2">
        <f>N33</f>
        <v>0.29696400000000001</v>
      </c>
      <c r="U44" s="2">
        <f>U33+U34</f>
        <v>1.533304</v>
      </c>
    </row>
    <row r="45" spans="1:25" hidden="1" x14ac:dyDescent="0.25">
      <c r="B45" s="73" t="s">
        <v>87</v>
      </c>
      <c r="N45" s="251">
        <f>AVERAGE(N42:N44)</f>
        <v>-0.99225250000000031</v>
      </c>
      <c r="U45" s="251">
        <f>AVERAGE(U42:U44)</f>
        <v>2.8449793333333329</v>
      </c>
    </row>
    <row r="46" spans="1:25" hidden="1" x14ac:dyDescent="0.25"/>
    <row r="47" spans="1:25" hidden="1" x14ac:dyDescent="0.25">
      <c r="B47" s="252" t="s">
        <v>90</v>
      </c>
      <c r="C47" s="252"/>
      <c r="N47" s="2"/>
    </row>
    <row r="48" spans="1:25" hidden="1" x14ac:dyDescent="0.25">
      <c r="B48" t="s">
        <v>86</v>
      </c>
      <c r="C48" t="s">
        <v>8</v>
      </c>
      <c r="N48" s="2">
        <f>(N8+N12)/4</f>
        <v>0.89503110000000008</v>
      </c>
    </row>
    <row r="49" spans="2:14" hidden="1" x14ac:dyDescent="0.25">
      <c r="B49" t="s">
        <v>12</v>
      </c>
      <c r="C49" t="s">
        <v>8</v>
      </c>
      <c r="N49" s="2">
        <f>(N19+N23)/4</f>
        <v>0</v>
      </c>
    </row>
    <row r="50" spans="2:14" hidden="1" x14ac:dyDescent="0.25">
      <c r="B50" t="s">
        <v>13</v>
      </c>
      <c r="C50" t="s">
        <v>8</v>
      </c>
      <c r="F50" s="179"/>
      <c r="H50" s="179"/>
      <c r="N50" s="2">
        <f>N35/4</f>
        <v>0.66534389999999988</v>
      </c>
    </row>
    <row r="51" spans="2:14" hidden="1" x14ac:dyDescent="0.25">
      <c r="B51" s="73" t="s">
        <v>87</v>
      </c>
      <c r="F51" s="179"/>
      <c r="H51" s="179"/>
      <c r="N51" s="251">
        <f>AVERAGE(N48:N50)</f>
        <v>0.52012500000000006</v>
      </c>
    </row>
    <row r="52" spans="2:14" hidden="1" x14ac:dyDescent="0.25">
      <c r="E52" s="2"/>
      <c r="F52" s="179"/>
      <c r="G52" s="2"/>
      <c r="H52" s="179"/>
      <c r="I52" s="2"/>
      <c r="J52" s="2"/>
      <c r="N52" s="2"/>
    </row>
    <row r="53" spans="2:14" ht="24" customHeight="1" x14ac:dyDescent="0.25">
      <c r="B53" s="531" t="s">
        <v>100</v>
      </c>
      <c r="C53" s="532"/>
      <c r="F53" s="179"/>
      <c r="H53" s="328"/>
    </row>
    <row r="54" spans="2:14" x14ac:dyDescent="0.25">
      <c r="F54" s="179"/>
      <c r="H54" s="328"/>
      <c r="K54" s="336" t="s">
        <v>103</v>
      </c>
      <c r="L54" s="253"/>
      <c r="M54" s="253"/>
    </row>
    <row r="55" spans="2:14" x14ac:dyDescent="0.25">
      <c r="F55" s="179"/>
      <c r="H55" s="179"/>
      <c r="K55" s="253" t="s">
        <v>111</v>
      </c>
      <c r="L55" s="253"/>
      <c r="M55" s="253"/>
      <c r="N55" s="2"/>
    </row>
    <row r="56" spans="2:14" x14ac:dyDescent="0.25">
      <c r="F56" s="179"/>
      <c r="H56" s="179"/>
    </row>
    <row r="57" spans="2:14" x14ac:dyDescent="0.25">
      <c r="F57" s="179"/>
      <c r="H57" s="179"/>
      <c r="K57" t="s">
        <v>109</v>
      </c>
    </row>
    <row r="58" spans="2:14" x14ac:dyDescent="0.25">
      <c r="F58" s="179"/>
      <c r="H58" s="179"/>
      <c r="K58" t="s">
        <v>104</v>
      </c>
    </row>
    <row r="59" spans="2:14" x14ac:dyDescent="0.25">
      <c r="F59" s="179"/>
      <c r="H59" s="179"/>
      <c r="K59" t="s">
        <v>105</v>
      </c>
    </row>
    <row r="60" spans="2:14" x14ac:dyDescent="0.25">
      <c r="F60" s="179"/>
      <c r="H60" s="179"/>
    </row>
    <row r="61" spans="2:14" x14ac:dyDescent="0.25">
      <c r="F61" s="179"/>
      <c r="H61" s="179"/>
    </row>
    <row r="62" spans="2:14" x14ac:dyDescent="0.25">
      <c r="F62" s="179"/>
      <c r="H62" s="179"/>
    </row>
    <row r="63" spans="2:14" x14ac:dyDescent="0.25">
      <c r="F63" s="179"/>
      <c r="H63" s="179"/>
    </row>
    <row r="64" spans="2:14" x14ac:dyDescent="0.25">
      <c r="F64" s="179"/>
      <c r="H64" s="179"/>
    </row>
    <row r="65" spans="6:8" x14ac:dyDescent="0.25">
      <c r="F65" s="179"/>
      <c r="H65" s="179"/>
    </row>
    <row r="66" spans="6:8" x14ac:dyDescent="0.25">
      <c r="F66" s="179"/>
      <c r="H66" s="179"/>
    </row>
    <row r="67" spans="6:8" x14ac:dyDescent="0.25">
      <c r="F67" s="179"/>
      <c r="H67" s="179"/>
    </row>
    <row r="68" spans="6:8" x14ac:dyDescent="0.25">
      <c r="F68" s="179"/>
      <c r="H68" s="179"/>
    </row>
    <row r="69" spans="6:8" x14ac:dyDescent="0.25">
      <c r="F69" s="179"/>
      <c r="H69" s="179"/>
    </row>
    <row r="70" spans="6:8" x14ac:dyDescent="0.25">
      <c r="F70" s="179"/>
      <c r="H70" s="179"/>
    </row>
    <row r="71" spans="6:8" x14ac:dyDescent="0.25">
      <c r="F71" s="179"/>
      <c r="H71" s="179"/>
    </row>
    <row r="72" spans="6:8" x14ac:dyDescent="0.25">
      <c r="F72" s="179"/>
      <c r="H72" s="179"/>
    </row>
    <row r="73" spans="6:8" x14ac:dyDescent="0.25">
      <c r="F73" s="179"/>
      <c r="H73" s="179"/>
    </row>
    <row r="74" spans="6:8" x14ac:dyDescent="0.25">
      <c r="F74" s="179"/>
      <c r="H74" s="179"/>
    </row>
    <row r="75" spans="6:8" x14ac:dyDescent="0.25">
      <c r="F75" s="179"/>
      <c r="H75" s="179"/>
    </row>
    <row r="76" spans="6:8" x14ac:dyDescent="0.25">
      <c r="F76" s="179"/>
      <c r="H76" s="179"/>
    </row>
    <row r="77" spans="6:8" x14ac:dyDescent="0.25">
      <c r="F77" s="179"/>
      <c r="H77" s="179"/>
    </row>
    <row r="78" spans="6:8" x14ac:dyDescent="0.25">
      <c r="F78" s="179"/>
      <c r="H78" s="179"/>
    </row>
    <row r="79" spans="6:8" x14ac:dyDescent="0.25">
      <c r="F79" s="179"/>
      <c r="H79" s="179"/>
    </row>
    <row r="80" spans="6:8" x14ac:dyDescent="0.25">
      <c r="F80" s="179"/>
      <c r="H80" s="179"/>
    </row>
    <row r="81" spans="6:8" x14ac:dyDescent="0.25">
      <c r="F81" s="179"/>
      <c r="H81" s="179"/>
    </row>
    <row r="82" spans="6:8" x14ac:dyDescent="0.25">
      <c r="F82" s="179"/>
      <c r="H82" s="179"/>
    </row>
    <row r="83" spans="6:8" x14ac:dyDescent="0.25">
      <c r="F83" s="179"/>
      <c r="H83" s="179"/>
    </row>
    <row r="84" spans="6:8" x14ac:dyDescent="0.25">
      <c r="F84" s="179"/>
      <c r="H84" s="179"/>
    </row>
    <row r="85" spans="6:8" x14ac:dyDescent="0.25">
      <c r="F85" s="179"/>
      <c r="H85" s="179"/>
    </row>
    <row r="86" spans="6:8" x14ac:dyDescent="0.25">
      <c r="F86" s="179"/>
      <c r="H86" s="179"/>
    </row>
    <row r="87" spans="6:8" x14ac:dyDescent="0.25">
      <c r="F87" s="179"/>
      <c r="H87" s="179"/>
    </row>
    <row r="88" spans="6:8" x14ac:dyDescent="0.25">
      <c r="F88" s="179"/>
      <c r="H88" s="179"/>
    </row>
    <row r="89" spans="6:8" x14ac:dyDescent="0.25">
      <c r="F89" s="179"/>
      <c r="H89" s="179"/>
    </row>
    <row r="90" spans="6:8" x14ac:dyDescent="0.25">
      <c r="F90" s="179"/>
      <c r="H90" s="179"/>
    </row>
    <row r="91" spans="6:8" x14ac:dyDescent="0.25">
      <c r="F91" s="179"/>
      <c r="H91" s="179"/>
    </row>
    <row r="92" spans="6:8" x14ac:dyDescent="0.25">
      <c r="F92" s="179"/>
      <c r="H92" s="179"/>
    </row>
    <row r="93" spans="6:8" x14ac:dyDescent="0.25">
      <c r="F93" s="179"/>
      <c r="H93" s="179"/>
    </row>
  </sheetData>
  <mergeCells count="24">
    <mergeCell ref="B39:C39"/>
    <mergeCell ref="E39:F39"/>
    <mergeCell ref="K39:M39"/>
    <mergeCell ref="B53:C53"/>
    <mergeCell ref="E27:F29"/>
    <mergeCell ref="B31:C31"/>
    <mergeCell ref="B32:D32"/>
    <mergeCell ref="A33:A38"/>
    <mergeCell ref="B33:B37"/>
    <mergeCell ref="B38:D38"/>
    <mergeCell ref="A5:A16"/>
    <mergeCell ref="B5:B10"/>
    <mergeCell ref="B11:B15"/>
    <mergeCell ref="B16:D16"/>
    <mergeCell ref="A17:A32"/>
    <mergeCell ref="B17:B21"/>
    <mergeCell ref="B22:B25"/>
    <mergeCell ref="B27:B30"/>
    <mergeCell ref="Q4:R4"/>
    <mergeCell ref="A3:C3"/>
    <mergeCell ref="E3:F3"/>
    <mergeCell ref="G3:H3"/>
    <mergeCell ref="K3:O3"/>
    <mergeCell ref="Q3:V3"/>
  </mergeCells>
  <pageMargins left="0.23622047244094491" right="0.23622047244094491" top="0.39370078740157483" bottom="0.27559055118110237" header="0.15748031496062992" footer="0.15748031496062992"/>
  <pageSetup paperSize="9" scale="55" fitToWidth="2" orientation="landscape" r:id="rId1"/>
  <headerFooter>
    <oddHeader>&amp;L&amp;G&amp;CPrimerjava prodajnih cen VOKA&amp;RVar 2_Prevalje</oddHeader>
    <oddFooter>&amp;L                                                                                                          
Ravne na Koroškem, &amp;D&amp;CIzdelala: Andreja Jehart&amp;RStran &amp;P/&amp;N</oddFooter>
  </headerFooter>
  <colBreaks count="1" manualBreakCount="1">
    <brk id="10" max="1048575" man="1"/>
  </colBreaks>
  <drawing r:id="rId2"/>
  <legacyDrawing r:id="rId3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Y93"/>
  <sheetViews>
    <sheetView workbookViewId="0"/>
  </sheetViews>
  <sheetFormatPr defaultRowHeight="15.75" outlineLevelRow="1" outlineLevelCol="1" x14ac:dyDescent="0.25"/>
  <cols>
    <col min="1" max="1" width="10.7109375" customWidth="1"/>
    <col min="2" max="2" width="17.5703125" customWidth="1"/>
    <col min="3" max="3" width="34" customWidth="1"/>
    <col min="4" max="4" width="10.28515625" customWidth="1"/>
    <col min="5" max="6" width="22.5703125" hidden="1" customWidth="1" outlineLevel="1"/>
    <col min="7" max="10" width="22.5703125" customWidth="1" outlineLevel="1"/>
    <col min="11" max="11" width="17.42578125" customWidth="1"/>
    <col min="12" max="13" width="14.42578125" customWidth="1"/>
    <col min="14" max="14" width="15.7109375" customWidth="1"/>
    <col min="15" max="15" width="18.7109375" customWidth="1"/>
    <col min="16" max="16" width="3.5703125" customWidth="1"/>
    <col min="17" max="17" width="12.7109375" customWidth="1"/>
    <col min="18" max="18" width="11.7109375" customWidth="1"/>
    <col min="19" max="21" width="14.42578125" customWidth="1"/>
    <col min="22" max="22" width="19" customWidth="1"/>
    <col min="24" max="25" width="0" hidden="1" customWidth="1"/>
  </cols>
  <sheetData>
    <row r="1" spans="1:25" ht="20.25" customHeight="1" x14ac:dyDescent="0.25">
      <c r="A1" s="248"/>
      <c r="B1" s="248"/>
      <c r="C1" s="248"/>
      <c r="I1" s="335"/>
    </row>
    <row r="2" spans="1:25" ht="19.5" customHeight="1" thickBot="1" x14ac:dyDescent="0.35">
      <c r="A2" s="124" t="s">
        <v>47</v>
      </c>
      <c r="D2" s="338"/>
      <c r="I2" s="2"/>
      <c r="K2" s="250" t="s">
        <v>84</v>
      </c>
      <c r="L2" s="242">
        <v>3.8</v>
      </c>
      <c r="M2" s="249" t="s">
        <v>83</v>
      </c>
    </row>
    <row r="3" spans="1:25" s="174" customFormat="1" ht="27" customHeight="1" thickTop="1" x14ac:dyDescent="0.25">
      <c r="A3" s="545" t="s">
        <v>101</v>
      </c>
      <c r="B3" s="545"/>
      <c r="C3" s="545"/>
      <c r="E3" s="525" t="s">
        <v>49</v>
      </c>
      <c r="F3" s="526"/>
      <c r="G3" s="525" t="s">
        <v>76</v>
      </c>
      <c r="H3" s="526"/>
      <c r="I3" s="175"/>
      <c r="J3" s="176"/>
      <c r="K3" s="512" t="s">
        <v>69</v>
      </c>
      <c r="L3" s="513"/>
      <c r="M3" s="513"/>
      <c r="N3" s="513"/>
      <c r="O3" s="514"/>
      <c r="P3" s="327">
        <v>0.02</v>
      </c>
      <c r="Q3" s="512" t="s">
        <v>85</v>
      </c>
      <c r="R3" s="513"/>
      <c r="S3" s="513"/>
      <c r="T3" s="513"/>
      <c r="U3" s="513"/>
      <c r="V3" s="514"/>
    </row>
    <row r="4" spans="1:25" ht="49.5" customHeight="1" thickBot="1" x14ac:dyDescent="0.3">
      <c r="A4" s="166" t="s">
        <v>0</v>
      </c>
      <c r="B4" s="167" t="s">
        <v>1</v>
      </c>
      <c r="C4" s="167" t="s">
        <v>2</v>
      </c>
      <c r="D4" s="178" t="s">
        <v>3</v>
      </c>
      <c r="E4" s="49" t="s">
        <v>63</v>
      </c>
      <c r="F4" s="168" t="s">
        <v>64</v>
      </c>
      <c r="G4" s="49" t="s">
        <v>63</v>
      </c>
      <c r="H4" s="168" t="s">
        <v>64</v>
      </c>
      <c r="I4" s="50" t="s">
        <v>33</v>
      </c>
      <c r="J4" s="50" t="s">
        <v>50</v>
      </c>
      <c r="K4" s="245" t="s">
        <v>78</v>
      </c>
      <c r="L4" s="339" t="s">
        <v>79</v>
      </c>
      <c r="M4" s="339" t="s">
        <v>80</v>
      </c>
      <c r="N4" s="339" t="s">
        <v>81</v>
      </c>
      <c r="O4" s="340" t="s">
        <v>66</v>
      </c>
      <c r="Q4" s="530" t="s">
        <v>82</v>
      </c>
      <c r="R4" s="530"/>
      <c r="S4" s="339" t="s">
        <v>79</v>
      </c>
      <c r="T4" s="339" t="s">
        <v>80</v>
      </c>
      <c r="U4" s="339" t="s">
        <v>81</v>
      </c>
      <c r="V4" s="340" t="s">
        <v>66</v>
      </c>
    </row>
    <row r="5" spans="1:25" ht="27.75" hidden="1" customHeight="1" outlineLevel="1" x14ac:dyDescent="0.3">
      <c r="A5" s="464" t="s">
        <v>5</v>
      </c>
      <c r="B5" s="519" t="s">
        <v>6</v>
      </c>
      <c r="C5" s="143" t="s">
        <v>30</v>
      </c>
      <c r="D5" s="144" t="s">
        <v>7</v>
      </c>
      <c r="E5" s="145">
        <v>3.7061999999999999</v>
      </c>
      <c r="F5" s="146">
        <f>ROUND(E5,4)*1.095</f>
        <v>4.0582890000000003</v>
      </c>
      <c r="G5" s="147">
        <f>[2]VOKA_Omrežnina_predrač.2014_2!$P$12</f>
        <v>2.3874280765175477</v>
      </c>
      <c r="H5" s="146">
        <f>ROUND(G5,4)*1.095</f>
        <v>2.6142029999999998</v>
      </c>
      <c r="I5" s="148">
        <f>H5-F5</f>
        <v>-1.4440860000000004</v>
      </c>
      <c r="J5" s="149">
        <f>G5/E5</f>
        <v>0.64417140912998427</v>
      </c>
      <c r="K5" s="188">
        <v>1</v>
      </c>
      <c r="L5" s="190">
        <f>K5*F5</f>
        <v>4.0582890000000003</v>
      </c>
      <c r="M5" s="190">
        <f>K5*H5</f>
        <v>2.6142029999999998</v>
      </c>
      <c r="N5" s="190">
        <f>M5-L5</f>
        <v>-1.4440860000000004</v>
      </c>
      <c r="O5" s="192"/>
      <c r="P5" s="193"/>
      <c r="Q5" s="194" t="s">
        <v>73</v>
      </c>
      <c r="R5" s="188">
        <v>1</v>
      </c>
      <c r="S5" s="190">
        <v>0.83630000000000004</v>
      </c>
      <c r="T5" s="190">
        <f>R5*H5</f>
        <v>2.6142029999999998</v>
      </c>
      <c r="U5" s="190">
        <f>T5-S5</f>
        <v>1.7779029999999998</v>
      </c>
      <c r="V5" s="313"/>
    </row>
    <row r="6" spans="1:25" ht="27.75" hidden="1" customHeight="1" outlineLevel="1" x14ac:dyDescent="0.3">
      <c r="A6" s="464"/>
      <c r="B6" s="519"/>
      <c r="C6" s="143" t="s">
        <v>94</v>
      </c>
      <c r="D6" s="144" t="s">
        <v>7</v>
      </c>
      <c r="E6" s="145"/>
      <c r="F6" s="146"/>
      <c r="G6" s="147">
        <f>[2]VOKA_Omrežnina_predrač.2014_2!$AH$12</f>
        <v>-0.82101806239737274</v>
      </c>
      <c r="H6" s="146">
        <f>ROUND(G6,4)*1.095</f>
        <v>-0.89899499999999988</v>
      </c>
      <c r="I6" s="148">
        <f>H6-F6</f>
        <v>-0.89899499999999988</v>
      </c>
      <c r="J6" s="149"/>
      <c r="K6" s="188">
        <v>1</v>
      </c>
      <c r="L6" s="190"/>
      <c r="M6" s="190"/>
      <c r="N6" s="190"/>
      <c r="O6" s="192"/>
      <c r="P6" s="193"/>
      <c r="Q6" s="194"/>
      <c r="R6" s="188">
        <v>1</v>
      </c>
      <c r="S6" s="190"/>
      <c r="T6" s="190"/>
      <c r="U6" s="190"/>
      <c r="V6" s="313"/>
    </row>
    <row r="7" spans="1:25" ht="27.75" hidden="1" customHeight="1" outlineLevel="1" x14ac:dyDescent="0.3">
      <c r="A7" s="464"/>
      <c r="B7" s="519"/>
      <c r="C7" s="143" t="s">
        <v>77</v>
      </c>
      <c r="D7" s="144" t="s">
        <v>7</v>
      </c>
      <c r="E7" s="145"/>
      <c r="F7" s="146"/>
      <c r="G7" s="147">
        <f>[2]VOKA_Omrežnina_predrač.2014_2!$AD$12</f>
        <v>-0.83739505597014929</v>
      </c>
      <c r="H7" s="146">
        <f t="shared" ref="H7:H9" si="0">ROUND(G7,4)*1.095</f>
        <v>-0.91695300000000002</v>
      </c>
      <c r="I7" s="148">
        <f>H7-F7</f>
        <v>-0.91695300000000002</v>
      </c>
      <c r="J7" s="149"/>
      <c r="K7" s="239"/>
      <c r="L7" s="240"/>
      <c r="M7" s="240"/>
      <c r="N7" s="240"/>
      <c r="O7" s="241"/>
      <c r="P7" s="193"/>
      <c r="Q7" s="194"/>
      <c r="R7" s="188"/>
      <c r="S7" s="190"/>
      <c r="T7" s="190"/>
      <c r="U7" s="190"/>
      <c r="V7" s="313"/>
    </row>
    <row r="8" spans="1:25" ht="27.75" hidden="1" customHeight="1" outlineLevel="1" x14ac:dyDescent="0.3">
      <c r="A8" s="464"/>
      <c r="B8" s="519"/>
      <c r="C8" s="3" t="s">
        <v>8</v>
      </c>
      <c r="D8" s="76" t="s">
        <v>9</v>
      </c>
      <c r="E8" s="12">
        <v>0.29499999999999998</v>
      </c>
      <c r="F8" s="69">
        <f>ROUND(E8,4)*1.095</f>
        <v>0.32302499999999995</v>
      </c>
      <c r="G8" s="246">
        <f>'[2]VOKA_Predr. obdobje plan 2014'!$AG$72</f>
        <v>0.43321784092427718</v>
      </c>
      <c r="H8" s="69">
        <f t="shared" si="0"/>
        <v>0.47435399999999994</v>
      </c>
      <c r="I8" s="64">
        <f t="shared" ref="I8:I36" si="1">H8-F8</f>
        <v>0.15132899999999999</v>
      </c>
      <c r="J8" s="113">
        <f t="shared" ref="J8:J36" si="2">G8/E8</f>
        <v>1.4685350539806006</v>
      </c>
      <c r="K8" s="195">
        <f>4*$L$2</f>
        <v>15.2</v>
      </c>
      <c r="L8" s="197">
        <f>K8*F8</f>
        <v>4.9099799999999991</v>
      </c>
      <c r="M8" s="197">
        <f>K8*H8</f>
        <v>7.2101807999999989</v>
      </c>
      <c r="N8" s="197">
        <f>M8-L8</f>
        <v>2.3002007999999998</v>
      </c>
      <c r="O8" s="199"/>
      <c r="P8" s="193"/>
      <c r="Q8" s="195">
        <f>4*$L$2</f>
        <v>15.2</v>
      </c>
      <c r="R8" s="195">
        <f>4*$L$2</f>
        <v>15.2</v>
      </c>
      <c r="S8" s="197">
        <f>Q8*F8</f>
        <v>4.9099799999999991</v>
      </c>
      <c r="T8" s="197">
        <f>R8*H8</f>
        <v>7.2101807999999989</v>
      </c>
      <c r="U8" s="197">
        <f>T8-S8</f>
        <v>2.3002007999999998</v>
      </c>
      <c r="V8" s="314"/>
      <c r="X8">
        <f>N8/4</f>
        <v>0.57505019999999996</v>
      </c>
    </row>
    <row r="9" spans="1:25" ht="27.75" hidden="1" customHeight="1" outlineLevel="1" x14ac:dyDescent="0.3">
      <c r="A9" s="464"/>
      <c r="B9" s="519"/>
      <c r="C9" s="4" t="s">
        <v>10</v>
      </c>
      <c r="D9" s="77" t="s">
        <v>9</v>
      </c>
      <c r="E9" s="9">
        <v>6.3799999999999996E-2</v>
      </c>
      <c r="F9" s="70">
        <f>ROUND(E9,4)*1.095</f>
        <v>6.9860999999999993E-2</v>
      </c>
      <c r="G9" s="60">
        <v>6.3799999999999996E-2</v>
      </c>
      <c r="H9" s="70">
        <f t="shared" si="0"/>
        <v>6.9860999999999993E-2</v>
      </c>
      <c r="I9" s="65">
        <f t="shared" si="1"/>
        <v>0</v>
      </c>
      <c r="J9" s="114">
        <f t="shared" si="2"/>
        <v>1</v>
      </c>
      <c r="K9" s="200">
        <f>4*$L$2</f>
        <v>15.2</v>
      </c>
      <c r="L9" s="202">
        <f>K9*F9</f>
        <v>1.0618871999999999</v>
      </c>
      <c r="M9" s="202">
        <f>K9*H9</f>
        <v>1.0618871999999999</v>
      </c>
      <c r="N9" s="202">
        <f>M9-L9</f>
        <v>0</v>
      </c>
      <c r="O9" s="204"/>
      <c r="P9" s="193"/>
      <c r="Q9" s="200">
        <f>4*$L$2</f>
        <v>15.2</v>
      </c>
      <c r="R9" s="200">
        <f>4*$L$2</f>
        <v>15.2</v>
      </c>
      <c r="S9" s="202">
        <f>Q9*F9</f>
        <v>1.0618871999999999</v>
      </c>
      <c r="T9" s="202">
        <f>R9*H9</f>
        <v>1.0618871999999999</v>
      </c>
      <c r="U9" s="202">
        <f>T9-S9</f>
        <v>0</v>
      </c>
      <c r="V9" s="315"/>
    </row>
    <row r="10" spans="1:25" ht="27.75" hidden="1" customHeight="1" outlineLevel="1" x14ac:dyDescent="0.3">
      <c r="A10" s="464"/>
      <c r="B10" s="520"/>
      <c r="C10" s="154" t="s">
        <v>60</v>
      </c>
      <c r="D10" s="139"/>
      <c r="E10" s="150"/>
      <c r="F10" s="140"/>
      <c r="G10" s="150"/>
      <c r="H10" s="140"/>
      <c r="I10" s="151"/>
      <c r="J10" s="163"/>
      <c r="K10" s="205"/>
      <c r="L10" s="207">
        <f>SUM(L5:L9)</f>
        <v>10.030156199999999</v>
      </c>
      <c r="M10" s="207">
        <f t="shared" ref="M10:N10" si="3">SUM(M5:M9)</f>
        <v>10.886270999999999</v>
      </c>
      <c r="N10" s="207">
        <f t="shared" si="3"/>
        <v>0.8561147999999994</v>
      </c>
      <c r="O10" s="254">
        <f t="shared" ref="O10" si="4">M10/L10</f>
        <v>1.0853540845156529</v>
      </c>
      <c r="P10" s="193"/>
      <c r="Q10" s="205"/>
      <c r="R10" s="205"/>
      <c r="S10" s="207">
        <f>SUM(S5:S9)</f>
        <v>6.8081671999999989</v>
      </c>
      <c r="T10" s="207">
        <f t="shared" ref="T10:U10" si="5">SUM(T5:T9)</f>
        <v>10.886270999999999</v>
      </c>
      <c r="U10" s="207">
        <f t="shared" si="5"/>
        <v>4.0781037999999992</v>
      </c>
      <c r="V10" s="316">
        <f t="shared" ref="V10" si="6">T10/S10</f>
        <v>1.5990017107687955</v>
      </c>
    </row>
    <row r="11" spans="1:25" ht="27.75" hidden="1" customHeight="1" outlineLevel="1" x14ac:dyDescent="0.3">
      <c r="A11" s="464"/>
      <c r="B11" s="521" t="s">
        <v>11</v>
      </c>
      <c r="C11" s="143" t="s">
        <v>30</v>
      </c>
      <c r="D11" s="144" t="s">
        <v>7</v>
      </c>
      <c r="E11" s="145">
        <v>3.6331000000000002</v>
      </c>
      <c r="F11" s="146">
        <f t="shared" ref="F11:F14" si="7">ROUND(E11,4)*1.095</f>
        <v>3.9782445000000002</v>
      </c>
      <c r="G11" s="147">
        <f>[2]VOKA_Omrežnina_predrač.2014_2!$Q$12</f>
        <v>3.5094837324898331</v>
      </c>
      <c r="H11" s="146">
        <f t="shared" ref="H11:H14" si="8">ROUND(G11,4)*1.095</f>
        <v>3.8429025000000001</v>
      </c>
      <c r="I11" s="148">
        <f t="shared" si="1"/>
        <v>-0.13534200000000007</v>
      </c>
      <c r="J11" s="149">
        <f t="shared" si="2"/>
        <v>0.96597498898732015</v>
      </c>
      <c r="K11" s="188">
        <v>1</v>
      </c>
      <c r="L11" s="190">
        <f>K11*F11</f>
        <v>3.9782445000000002</v>
      </c>
      <c r="M11" s="190">
        <f>K11*H11</f>
        <v>3.8429025000000001</v>
      </c>
      <c r="N11" s="190">
        <f>M11-L11</f>
        <v>-0.13534200000000007</v>
      </c>
      <c r="O11" s="192"/>
      <c r="P11" s="193"/>
      <c r="Q11" s="194" t="s">
        <v>73</v>
      </c>
      <c r="R11" s="188">
        <v>1</v>
      </c>
      <c r="S11" s="190">
        <v>0.82199999999999995</v>
      </c>
      <c r="T11" s="190">
        <f>R11*H11</f>
        <v>3.8429025000000001</v>
      </c>
      <c r="U11" s="190">
        <f>T11-S11</f>
        <v>3.0209025</v>
      </c>
      <c r="V11" s="313"/>
    </row>
    <row r="12" spans="1:25" ht="27.75" hidden="1" customHeight="1" outlineLevel="1" x14ac:dyDescent="0.3">
      <c r="A12" s="464"/>
      <c r="B12" s="522"/>
      <c r="C12" s="3" t="s">
        <v>8</v>
      </c>
      <c r="D12" s="76" t="s">
        <v>9</v>
      </c>
      <c r="E12" s="12">
        <v>0.21279999999999999</v>
      </c>
      <c r="F12" s="69">
        <f t="shared" si="7"/>
        <v>0.23301599999999997</v>
      </c>
      <c r="G12" s="247">
        <f>'[2]VOKA_Predr. obdobje plan 2014'!$AW$72</f>
        <v>0.28974110730242286</v>
      </c>
      <c r="H12" s="69">
        <f t="shared" si="8"/>
        <v>0.31722149999999999</v>
      </c>
      <c r="I12" s="64">
        <f t="shared" si="1"/>
        <v>8.4205500000000016E-2</v>
      </c>
      <c r="J12" s="113">
        <f t="shared" si="2"/>
        <v>1.3615653538647692</v>
      </c>
      <c r="K12" s="195">
        <f>4*$L$2</f>
        <v>15.2</v>
      </c>
      <c r="L12" s="197">
        <f>K12*F12</f>
        <v>3.5418431999999993</v>
      </c>
      <c r="M12" s="197">
        <f>K12*H12</f>
        <v>4.8217667999999998</v>
      </c>
      <c r="N12" s="197">
        <f>M12-L12</f>
        <v>1.2799236000000005</v>
      </c>
      <c r="O12" s="199"/>
      <c r="P12" s="193"/>
      <c r="Q12" s="195">
        <f>4*$L$2</f>
        <v>15.2</v>
      </c>
      <c r="R12" s="195">
        <f>4*$L$2</f>
        <v>15.2</v>
      </c>
      <c r="S12" s="197">
        <f>Q12*F12</f>
        <v>3.5418431999999993</v>
      </c>
      <c r="T12" s="197">
        <f>R12*H12</f>
        <v>4.8217667999999998</v>
      </c>
      <c r="U12" s="197">
        <f>T12-S12</f>
        <v>1.2799236000000005</v>
      </c>
      <c r="V12" s="314"/>
      <c r="X12">
        <f>N12/4</f>
        <v>0.31998090000000012</v>
      </c>
    </row>
    <row r="13" spans="1:25" ht="27.75" hidden="1" customHeight="1" outlineLevel="1" x14ac:dyDescent="0.3">
      <c r="A13" s="464"/>
      <c r="B13" s="522"/>
      <c r="C13" s="3" t="s">
        <v>42</v>
      </c>
      <c r="D13" s="76" t="s">
        <v>9</v>
      </c>
      <c r="E13" s="12">
        <v>0.52829999999999999</v>
      </c>
      <c r="F13" s="69">
        <f>ROUND(E13,4)*1</f>
        <v>0.52829999999999999</v>
      </c>
      <c r="G13" s="59">
        <v>0.52829999999999999</v>
      </c>
      <c r="H13" s="69">
        <f>ROUND(G13,4)*1</f>
        <v>0.52829999999999999</v>
      </c>
      <c r="I13" s="64">
        <f t="shared" si="1"/>
        <v>0</v>
      </c>
      <c r="J13" s="113">
        <f t="shared" si="2"/>
        <v>1</v>
      </c>
      <c r="K13" s="195">
        <f>4*$L$2</f>
        <v>15.2</v>
      </c>
      <c r="L13" s="197">
        <f>K13*F13</f>
        <v>8.0301599999999986</v>
      </c>
      <c r="M13" s="197">
        <f>K13*H13</f>
        <v>8.0301599999999986</v>
      </c>
      <c r="N13" s="197">
        <f>M13-L13</f>
        <v>0</v>
      </c>
      <c r="O13" s="199"/>
      <c r="P13" s="193"/>
      <c r="Q13" s="195">
        <f>4*$L$2</f>
        <v>15.2</v>
      </c>
      <c r="R13" s="195">
        <f>4*$L$2</f>
        <v>15.2</v>
      </c>
      <c r="S13" s="197">
        <f>Q13*F13</f>
        <v>8.0301599999999986</v>
      </c>
      <c r="T13" s="197">
        <f>R13*H13</f>
        <v>8.0301599999999986</v>
      </c>
      <c r="U13" s="197">
        <f>T13-S13</f>
        <v>0</v>
      </c>
      <c r="V13" s="314"/>
    </row>
    <row r="14" spans="1:25" ht="27.75" hidden="1" customHeight="1" outlineLevel="1" x14ac:dyDescent="0.3">
      <c r="A14" s="464"/>
      <c r="B14" s="523"/>
      <c r="C14" s="180" t="s">
        <v>75</v>
      </c>
      <c r="D14" s="76" t="s">
        <v>9</v>
      </c>
      <c r="E14" s="181">
        <v>48.2</v>
      </c>
      <c r="F14" s="185">
        <f t="shared" si="7"/>
        <v>52.779000000000003</v>
      </c>
      <c r="G14" s="182">
        <v>49.392000000000003</v>
      </c>
      <c r="H14" s="185">
        <f t="shared" si="8"/>
        <v>54.084240000000001</v>
      </c>
      <c r="I14" s="183">
        <f t="shared" si="1"/>
        <v>1.3052399999999977</v>
      </c>
      <c r="J14" s="184">
        <f t="shared" si="2"/>
        <v>1.0247302904564315</v>
      </c>
      <c r="K14" s="210"/>
      <c r="L14" s="212"/>
      <c r="M14" s="212"/>
      <c r="N14" s="214"/>
      <c r="O14" s="216"/>
      <c r="P14" s="193"/>
      <c r="Q14" s="210"/>
      <c r="R14" s="210"/>
      <c r="S14" s="212"/>
      <c r="T14" s="212"/>
      <c r="U14" s="212"/>
      <c r="V14" s="317"/>
    </row>
    <row r="15" spans="1:25" ht="27.75" hidden="1" customHeight="1" outlineLevel="1" x14ac:dyDescent="0.3">
      <c r="A15" s="464"/>
      <c r="B15" s="524"/>
      <c r="C15" s="155" t="s">
        <v>61</v>
      </c>
      <c r="D15" s="141"/>
      <c r="E15" s="152"/>
      <c r="F15" s="142"/>
      <c r="G15" s="152"/>
      <c r="H15" s="142"/>
      <c r="I15" s="153"/>
      <c r="J15" s="164"/>
      <c r="K15" s="219"/>
      <c r="L15" s="223">
        <f>SUM(L11:L13)</f>
        <v>15.550247699999998</v>
      </c>
      <c r="M15" s="223">
        <f t="shared" ref="M15:N15" si="9">SUM(M11:M13)</f>
        <v>16.694829299999999</v>
      </c>
      <c r="N15" s="223">
        <f t="shared" si="9"/>
        <v>1.1445816000000004</v>
      </c>
      <c r="O15" s="312">
        <f>M15/L15</f>
        <v>1.0736053612830876</v>
      </c>
      <c r="P15" s="193"/>
      <c r="Q15" s="219"/>
      <c r="R15" s="219"/>
      <c r="S15" s="223">
        <f>SUM(S11:S13)</f>
        <v>12.394003199999997</v>
      </c>
      <c r="T15" s="223">
        <f t="shared" ref="T15:U15" si="10">SUM(T11:T13)</f>
        <v>16.694829299999999</v>
      </c>
      <c r="U15" s="223">
        <f t="shared" si="10"/>
        <v>4.3008261000000001</v>
      </c>
      <c r="V15" s="318">
        <f>T15/S15-P3</f>
        <v>1.3270086323682733</v>
      </c>
    </row>
    <row r="16" spans="1:25" ht="27.75" hidden="1" customHeight="1" collapsed="1" thickBot="1" x14ac:dyDescent="0.35">
      <c r="A16" s="465"/>
      <c r="B16" s="515" t="s">
        <v>62</v>
      </c>
      <c r="C16" s="516"/>
      <c r="D16" s="517"/>
      <c r="E16" s="157"/>
      <c r="F16" s="158"/>
      <c r="G16" s="159"/>
      <c r="H16" s="158"/>
      <c r="I16" s="160"/>
      <c r="J16" s="165"/>
      <c r="K16" s="226"/>
      <c r="L16" s="228">
        <f>L10+L15</f>
        <v>25.580403899999997</v>
      </c>
      <c r="M16" s="228">
        <f t="shared" ref="M16:N16" si="11">M10+M15</f>
        <v>27.581100299999996</v>
      </c>
      <c r="N16" s="186">
        <f t="shared" si="11"/>
        <v>2.0006963999999998</v>
      </c>
      <c r="O16" s="230">
        <f>M16/L16</f>
        <v>1.0782120723277555</v>
      </c>
      <c r="P16" s="193"/>
      <c r="Q16" s="226"/>
      <c r="R16" s="226"/>
      <c r="S16" s="228">
        <f>S10+S15</f>
        <v>19.202170399999996</v>
      </c>
      <c r="T16" s="228">
        <f t="shared" ref="T16:U16" si="12">T10+T15</f>
        <v>27.581100299999996</v>
      </c>
      <c r="U16" s="186">
        <f t="shared" si="12"/>
        <v>8.3789298999999993</v>
      </c>
      <c r="V16" s="319">
        <f>T16/S16-P3</f>
        <v>1.4163532728571142</v>
      </c>
      <c r="X16" s="2">
        <f>N16/4</f>
        <v>0.50017409999999995</v>
      </c>
      <c r="Y16" s="2">
        <f>U16/4</f>
        <v>2.0947324749999998</v>
      </c>
    </row>
    <row r="17" spans="1:25" ht="27.75" customHeight="1" outlineLevel="1" x14ac:dyDescent="0.3">
      <c r="A17" s="463" t="s">
        <v>12</v>
      </c>
      <c r="B17" s="518" t="s">
        <v>6</v>
      </c>
      <c r="C17" s="132" t="s">
        <v>30</v>
      </c>
      <c r="D17" s="133" t="s">
        <v>7</v>
      </c>
      <c r="E17" s="134">
        <v>3.2275</v>
      </c>
      <c r="F17" s="135">
        <f>ROUND(E17,4)*1.095</f>
        <v>3.5341125</v>
      </c>
      <c r="G17" s="136">
        <f>[2]VOKA_Omrežnina_predrač.2014_2!$P$23</f>
        <v>2.0541620450606586</v>
      </c>
      <c r="H17" s="135">
        <f t="shared" ref="H17:H20" si="13">ROUND(G17,4)*1.095</f>
        <v>2.2493489999999996</v>
      </c>
      <c r="I17" s="137">
        <f t="shared" si="1"/>
        <v>-1.2847635000000004</v>
      </c>
      <c r="J17" s="138">
        <f t="shared" si="2"/>
        <v>0.63645609451918161</v>
      </c>
      <c r="K17" s="231">
        <v>1</v>
      </c>
      <c r="L17" s="233">
        <f>K17*F17</f>
        <v>3.5341125</v>
      </c>
      <c r="M17" s="233">
        <f>K17*H17</f>
        <v>2.2493489999999996</v>
      </c>
      <c r="N17" s="233">
        <f>M17-L17</f>
        <v>-1.2847635000000004</v>
      </c>
      <c r="O17" s="235"/>
      <c r="P17" s="193"/>
      <c r="Q17" s="236" t="s">
        <v>73</v>
      </c>
      <c r="R17" s="231">
        <v>1</v>
      </c>
      <c r="S17" s="233">
        <v>1.0134000000000001</v>
      </c>
      <c r="T17" s="233">
        <f>R17*H17</f>
        <v>2.2493489999999996</v>
      </c>
      <c r="U17" s="233">
        <f>T17-S17</f>
        <v>1.2359489999999995</v>
      </c>
      <c r="V17" s="320"/>
    </row>
    <row r="18" spans="1:25" ht="27.75" customHeight="1" outlineLevel="1" x14ac:dyDescent="0.3">
      <c r="A18" s="464"/>
      <c r="B18" s="519"/>
      <c r="C18" s="143" t="s">
        <v>77</v>
      </c>
      <c r="D18" s="144" t="s">
        <v>7</v>
      </c>
      <c r="E18" s="145"/>
      <c r="F18" s="146"/>
      <c r="G18" s="147">
        <f>[2]VOKA_Omrežnina_predrač.2014_2!$AD$23</f>
        <v>-0.83739505597014929</v>
      </c>
      <c r="H18" s="146">
        <f t="shared" si="13"/>
        <v>-0.91695300000000002</v>
      </c>
      <c r="I18" s="148">
        <f>H18-F18</f>
        <v>-0.91695300000000002</v>
      </c>
      <c r="J18" s="149"/>
      <c r="K18" s="239"/>
      <c r="L18" s="240"/>
      <c r="M18" s="240"/>
      <c r="N18" s="240"/>
      <c r="O18" s="241"/>
      <c r="P18" s="193"/>
      <c r="Q18" s="194"/>
      <c r="R18" s="188">
        <v>0</v>
      </c>
      <c r="S18" s="190"/>
      <c r="T18" s="190">
        <f>R18*H18</f>
        <v>0</v>
      </c>
      <c r="U18" s="190">
        <f>T18-S18</f>
        <v>0</v>
      </c>
      <c r="V18" s="313"/>
    </row>
    <row r="19" spans="1:25" ht="27.75" customHeight="1" outlineLevel="1" x14ac:dyDescent="0.3">
      <c r="A19" s="464"/>
      <c r="B19" s="519"/>
      <c r="C19" s="3" t="s">
        <v>8</v>
      </c>
      <c r="D19" s="76" t="s">
        <v>9</v>
      </c>
      <c r="E19" s="12">
        <v>0.26219999999999999</v>
      </c>
      <c r="F19" s="69">
        <f>ROUND(E19,4)*1.095</f>
        <v>0.287109</v>
      </c>
      <c r="G19" s="246">
        <f>E19</f>
        <v>0.26219999999999999</v>
      </c>
      <c r="H19" s="69">
        <f t="shared" si="13"/>
        <v>0.287109</v>
      </c>
      <c r="I19" s="64">
        <f t="shared" si="1"/>
        <v>0</v>
      </c>
      <c r="J19" s="113">
        <f t="shared" si="2"/>
        <v>1</v>
      </c>
      <c r="K19" s="195">
        <f>4*$L$2</f>
        <v>15.2</v>
      </c>
      <c r="L19" s="197">
        <f>K19*F19</f>
        <v>4.3640568000000002</v>
      </c>
      <c r="M19" s="197">
        <f>K19*H19</f>
        <v>4.3640568000000002</v>
      </c>
      <c r="N19" s="197">
        <f>M19-L19</f>
        <v>0</v>
      </c>
      <c r="O19" s="199"/>
      <c r="P19" s="193"/>
      <c r="Q19" s="195">
        <f>4*$L$2</f>
        <v>15.2</v>
      </c>
      <c r="R19" s="195">
        <f>4*$L$2</f>
        <v>15.2</v>
      </c>
      <c r="S19" s="197">
        <f>Q19*F19</f>
        <v>4.3640568000000002</v>
      </c>
      <c r="T19" s="197">
        <f>R19*H19</f>
        <v>4.3640568000000002</v>
      </c>
      <c r="U19" s="197">
        <f>T19-S19</f>
        <v>0</v>
      </c>
      <c r="V19" s="314"/>
      <c r="X19">
        <f>N19/4</f>
        <v>0</v>
      </c>
    </row>
    <row r="20" spans="1:25" ht="27.75" customHeight="1" outlineLevel="1" x14ac:dyDescent="0.3">
      <c r="A20" s="464"/>
      <c r="B20" s="519"/>
      <c r="C20" s="4" t="s">
        <v>10</v>
      </c>
      <c r="D20" s="77" t="s">
        <v>9</v>
      </c>
      <c r="E20" s="9">
        <v>6.3799999999999996E-2</v>
      </c>
      <c r="F20" s="70">
        <f>ROUND(E20,4)*1.095</f>
        <v>6.9860999999999993E-2</v>
      </c>
      <c r="G20" s="60">
        <v>6.3799999999999996E-2</v>
      </c>
      <c r="H20" s="70">
        <f t="shared" si="13"/>
        <v>6.9860999999999993E-2</v>
      </c>
      <c r="I20" s="65">
        <f t="shared" si="1"/>
        <v>0</v>
      </c>
      <c r="J20" s="114">
        <f t="shared" si="2"/>
        <v>1</v>
      </c>
      <c r="K20" s="200">
        <f>4*$L$2</f>
        <v>15.2</v>
      </c>
      <c r="L20" s="202">
        <f>K20*F20</f>
        <v>1.0618871999999999</v>
      </c>
      <c r="M20" s="202">
        <f>K20*H20</f>
        <v>1.0618871999999999</v>
      </c>
      <c r="N20" s="202">
        <f>M20-L20</f>
        <v>0</v>
      </c>
      <c r="O20" s="204"/>
      <c r="P20" s="193"/>
      <c r="Q20" s="200">
        <f>4*$L$2</f>
        <v>15.2</v>
      </c>
      <c r="R20" s="200">
        <f>4*$L$2</f>
        <v>15.2</v>
      </c>
      <c r="S20" s="202">
        <f>Q20*F20</f>
        <v>1.0618871999999999</v>
      </c>
      <c r="T20" s="202">
        <f>R20*H20</f>
        <v>1.0618871999999999</v>
      </c>
      <c r="U20" s="202">
        <f>T20-S20</f>
        <v>0</v>
      </c>
      <c r="V20" s="315"/>
    </row>
    <row r="21" spans="1:25" ht="27.75" customHeight="1" outlineLevel="1" thickBot="1" x14ac:dyDescent="0.35">
      <c r="A21" s="464"/>
      <c r="B21" s="520"/>
      <c r="C21" s="154" t="s">
        <v>60</v>
      </c>
      <c r="D21" s="139"/>
      <c r="E21" s="150"/>
      <c r="F21" s="140"/>
      <c r="G21" s="150"/>
      <c r="H21" s="140"/>
      <c r="I21" s="151"/>
      <c r="J21" s="163"/>
      <c r="K21" s="205"/>
      <c r="L21" s="207">
        <f>SUM(L17:L20)</f>
        <v>8.9600565000000003</v>
      </c>
      <c r="M21" s="207">
        <f t="shared" ref="M21:N21" si="14">SUM(M17:M20)</f>
        <v>7.6752929999999999</v>
      </c>
      <c r="N21" s="207">
        <f t="shared" si="14"/>
        <v>-1.2847635000000004</v>
      </c>
      <c r="O21" s="254">
        <f t="shared" ref="O21" si="15">M21/L21</f>
        <v>0.85661212069365855</v>
      </c>
      <c r="P21" s="193"/>
      <c r="Q21" s="205"/>
      <c r="R21" s="205"/>
      <c r="S21" s="207">
        <f>SUM(S17:S20)</f>
        <v>6.4393440000000002</v>
      </c>
      <c r="T21" s="207">
        <f t="shared" ref="T21:U21" si="16">SUM(T17:T20)</f>
        <v>7.6752929999999999</v>
      </c>
      <c r="U21" s="207">
        <f t="shared" si="16"/>
        <v>1.2359489999999995</v>
      </c>
      <c r="V21" s="316">
        <f t="shared" ref="V21" si="17">T21/S21</f>
        <v>1.1919370979404114</v>
      </c>
    </row>
    <row r="22" spans="1:25" ht="27.75" customHeight="1" outlineLevel="1" x14ac:dyDescent="0.3">
      <c r="A22" s="464"/>
      <c r="B22" s="521" t="s">
        <v>11</v>
      </c>
      <c r="C22" s="143" t="s">
        <v>30</v>
      </c>
      <c r="D22" s="144" t="s">
        <v>7</v>
      </c>
      <c r="E22" s="145">
        <v>2.9375</v>
      </c>
      <c r="F22" s="146">
        <f>ROUND(E22,4)*1.095</f>
        <v>3.2165624999999998</v>
      </c>
      <c r="G22" s="147">
        <f>[2]VOKA_Omrežnina_predrač.2014_2!$Q$23</f>
        <v>2.5634939341421146</v>
      </c>
      <c r="H22" s="146">
        <f t="shared" ref="H22:H29" si="18">ROUND(G22,4)*1.095</f>
        <v>2.8070324999999996</v>
      </c>
      <c r="I22" s="148">
        <f t="shared" si="1"/>
        <v>-0.40953000000000017</v>
      </c>
      <c r="J22" s="149">
        <f t="shared" si="2"/>
        <v>0.87267878609093263</v>
      </c>
      <c r="K22" s="188">
        <v>1</v>
      </c>
      <c r="L22" s="190">
        <f>K22*F22</f>
        <v>3.2165624999999998</v>
      </c>
      <c r="M22" s="190">
        <f>K22*H22</f>
        <v>2.8070324999999996</v>
      </c>
      <c r="N22" s="190">
        <f>M22-L22</f>
        <v>-0.40953000000000017</v>
      </c>
      <c r="O22" s="192"/>
      <c r="P22" s="193"/>
      <c r="Q22" s="236" t="s">
        <v>73</v>
      </c>
      <c r="R22" s="188">
        <v>1</v>
      </c>
      <c r="S22" s="190">
        <v>0.92320000000000002</v>
      </c>
      <c r="T22" s="190">
        <f>R22*H22</f>
        <v>2.8070324999999996</v>
      </c>
      <c r="U22" s="190">
        <f>T22-S22</f>
        <v>1.8838324999999996</v>
      </c>
      <c r="V22" s="313"/>
    </row>
    <row r="23" spans="1:25" ht="27.75" customHeight="1" outlineLevel="1" x14ac:dyDescent="0.3">
      <c r="A23" s="464"/>
      <c r="B23" s="522"/>
      <c r="C23" s="3" t="s">
        <v>8</v>
      </c>
      <c r="D23" s="76" t="s">
        <v>9</v>
      </c>
      <c r="E23" s="12">
        <v>0.21460000000000001</v>
      </c>
      <c r="F23" s="69">
        <f>ROUND(E23,4)*1.095</f>
        <v>0.234987</v>
      </c>
      <c r="G23" s="247">
        <f>E23</f>
        <v>0.21460000000000001</v>
      </c>
      <c r="H23" s="69">
        <f t="shared" si="18"/>
        <v>0.234987</v>
      </c>
      <c r="I23" s="64">
        <f t="shared" si="1"/>
        <v>0</v>
      </c>
      <c r="J23" s="113">
        <f t="shared" si="2"/>
        <v>1</v>
      </c>
      <c r="K23" s="195">
        <f>4*$L$2</f>
        <v>15.2</v>
      </c>
      <c r="L23" s="197">
        <f>K23*F23</f>
        <v>3.5718023999999997</v>
      </c>
      <c r="M23" s="197">
        <f>K23*H23</f>
        <v>3.5718023999999997</v>
      </c>
      <c r="N23" s="197">
        <f>M23-L23</f>
        <v>0</v>
      </c>
      <c r="O23" s="199"/>
      <c r="P23" s="193"/>
      <c r="Q23" s="195">
        <f>4*$L$2</f>
        <v>15.2</v>
      </c>
      <c r="R23" s="195">
        <f>4*$L$2</f>
        <v>15.2</v>
      </c>
      <c r="S23" s="197">
        <f>Q23*F23</f>
        <v>3.5718023999999997</v>
      </c>
      <c r="T23" s="197">
        <f>R23*H23</f>
        <v>3.5718023999999997</v>
      </c>
      <c r="U23" s="197">
        <f>T23-S23</f>
        <v>0</v>
      </c>
      <c r="V23" s="314"/>
      <c r="X23">
        <f>N23/4</f>
        <v>0</v>
      </c>
    </row>
    <row r="24" spans="1:25" ht="27.75" customHeight="1" outlineLevel="1" x14ac:dyDescent="0.3">
      <c r="A24" s="464"/>
      <c r="B24" s="522"/>
      <c r="C24" s="4" t="s">
        <v>42</v>
      </c>
      <c r="D24" s="77" t="s">
        <v>9</v>
      </c>
      <c r="E24" s="9">
        <v>0.52829999999999999</v>
      </c>
      <c r="F24" s="70">
        <f>ROUND(E24,4)*1</f>
        <v>0.52829999999999999</v>
      </c>
      <c r="G24" s="60">
        <v>0.52829999999999999</v>
      </c>
      <c r="H24" s="70">
        <f>ROUND(G24,4)*1</f>
        <v>0.52829999999999999</v>
      </c>
      <c r="I24" s="65">
        <f t="shared" si="1"/>
        <v>0</v>
      </c>
      <c r="J24" s="114">
        <f t="shared" si="2"/>
        <v>1</v>
      </c>
      <c r="K24" s="259">
        <f>4*$L$2</f>
        <v>15.2</v>
      </c>
      <c r="L24" s="214">
        <f>K24*F24</f>
        <v>8.0301599999999986</v>
      </c>
      <c r="M24" s="214">
        <f>K24*H24</f>
        <v>8.0301599999999986</v>
      </c>
      <c r="N24" s="214">
        <f>M24-L24</f>
        <v>0</v>
      </c>
      <c r="O24" s="257"/>
      <c r="P24" s="193"/>
      <c r="Q24" s="195">
        <f>4*$L$2</f>
        <v>15.2</v>
      </c>
      <c r="R24" s="195">
        <f>4*$L$2</f>
        <v>15.2</v>
      </c>
      <c r="S24" s="197">
        <f>Q24*F24</f>
        <v>8.0301599999999986</v>
      </c>
      <c r="T24" s="197">
        <f>R24*H24</f>
        <v>8.0301599999999986</v>
      </c>
      <c r="U24" s="197">
        <f>T24-S24</f>
        <v>0</v>
      </c>
      <c r="V24" s="314"/>
    </row>
    <row r="25" spans="1:25" ht="27.75" hidden="1" customHeight="1" outlineLevel="1" x14ac:dyDescent="0.3">
      <c r="A25" s="464"/>
      <c r="B25" s="535"/>
      <c r="C25" s="180" t="s">
        <v>75</v>
      </c>
      <c r="D25" s="262" t="s">
        <v>9</v>
      </c>
      <c r="E25" s="181">
        <v>48.2</v>
      </c>
      <c r="F25" s="185">
        <f>ROUND(E25,4)*1.095</f>
        <v>52.779000000000003</v>
      </c>
      <c r="G25" s="182">
        <v>49.392000000000003</v>
      </c>
      <c r="H25" s="185">
        <f t="shared" si="18"/>
        <v>54.084240000000001</v>
      </c>
      <c r="I25" s="183">
        <f t="shared" si="1"/>
        <v>1.3052399999999977</v>
      </c>
      <c r="J25" s="184">
        <f t="shared" si="2"/>
        <v>1.0247302904564315</v>
      </c>
      <c r="K25" s="210"/>
      <c r="L25" s="212"/>
      <c r="M25" s="212"/>
      <c r="N25" s="212"/>
      <c r="O25" s="300"/>
      <c r="P25" s="193"/>
      <c r="Q25" s="260"/>
      <c r="R25" s="260"/>
      <c r="S25" s="214"/>
      <c r="T25" s="214"/>
      <c r="U25" s="214"/>
      <c r="V25" s="322"/>
    </row>
    <row r="26" spans="1:25" ht="27.75" customHeight="1" outlineLevel="1" x14ac:dyDescent="0.3">
      <c r="A26" s="464"/>
      <c r="B26" s="255"/>
      <c r="C26" s="155" t="s">
        <v>92</v>
      </c>
      <c r="D26" s="141"/>
      <c r="E26" s="152"/>
      <c r="F26" s="142"/>
      <c r="G26" s="152"/>
      <c r="H26" s="142"/>
      <c r="I26" s="153"/>
      <c r="J26" s="164"/>
      <c r="K26" s="219"/>
      <c r="L26" s="221">
        <f>SUM(L22:L24)</f>
        <v>14.818524899999998</v>
      </c>
      <c r="M26" s="221">
        <f>SUM(M22:M24)</f>
        <v>14.408994899999998</v>
      </c>
      <c r="N26" s="221">
        <f>SUM(N22:N24)</f>
        <v>-0.40953000000000017</v>
      </c>
      <c r="O26" s="225">
        <f>M26/L26</f>
        <v>0.97236364599286129</v>
      </c>
      <c r="P26" s="193"/>
      <c r="Q26" s="258"/>
      <c r="R26" s="258"/>
      <c r="S26" s="221">
        <f>SUM(S22:S24)</f>
        <v>12.525162399999999</v>
      </c>
      <c r="T26" s="221">
        <f>SUM(T22:T24)</f>
        <v>14.408994899999998</v>
      </c>
      <c r="U26" s="221">
        <f>SUM(U22:U24)</f>
        <v>1.8838324999999996</v>
      </c>
      <c r="V26" s="323">
        <f>T26/S26</f>
        <v>1.1504038382767794</v>
      </c>
    </row>
    <row r="27" spans="1:25" ht="27.75" customHeight="1" outlineLevel="1" x14ac:dyDescent="0.3">
      <c r="A27" s="464"/>
      <c r="B27" s="544" t="s">
        <v>96</v>
      </c>
      <c r="C27" s="263" t="s">
        <v>30</v>
      </c>
      <c r="D27" s="256" t="s">
        <v>7</v>
      </c>
      <c r="E27" s="538"/>
      <c r="F27" s="539"/>
      <c r="G27" s="264">
        <f>[2]VOKA_Omrežnina_predrač.2014_2!$R$23</f>
        <v>4.4609800000000002</v>
      </c>
      <c r="H27" s="265">
        <f t="shared" si="18"/>
        <v>4.8847950000000004</v>
      </c>
      <c r="I27" s="266">
        <f t="shared" si="1"/>
        <v>4.8847950000000004</v>
      </c>
      <c r="J27" s="267"/>
      <c r="K27" s="268">
        <v>1</v>
      </c>
      <c r="L27" s="289"/>
      <c r="M27" s="289">
        <f t="shared" ref="M27:M30" si="19">K27*H27</f>
        <v>4.8847950000000004</v>
      </c>
      <c r="N27" s="289">
        <f t="shared" ref="N27:N29" si="20">M27-L27</f>
        <v>4.8847950000000004</v>
      </c>
      <c r="O27" s="290"/>
      <c r="P27" s="193"/>
      <c r="Q27" s="194"/>
      <c r="R27" s="188"/>
      <c r="S27" s="190"/>
      <c r="T27" s="190"/>
      <c r="U27" s="190"/>
      <c r="V27" s="313"/>
    </row>
    <row r="28" spans="1:25" ht="27.75" customHeight="1" outlineLevel="1" x14ac:dyDescent="0.3">
      <c r="A28" s="464"/>
      <c r="B28" s="523"/>
      <c r="C28" s="143" t="s">
        <v>97</v>
      </c>
      <c r="D28" s="283" t="s">
        <v>7</v>
      </c>
      <c r="E28" s="540"/>
      <c r="F28" s="541"/>
      <c r="G28" s="273">
        <f>[2]VOKA_Omrežnina_predrač.2014_2!$AS$22</f>
        <v>-2.2305000000000001</v>
      </c>
      <c r="H28" s="274">
        <f t="shared" si="18"/>
        <v>-2.4423975000000002</v>
      </c>
      <c r="I28" s="275"/>
      <c r="J28" s="276"/>
      <c r="K28" s="277">
        <v>1</v>
      </c>
      <c r="L28" s="278"/>
      <c r="M28" s="278">
        <f t="shared" si="19"/>
        <v>-2.4423975000000002</v>
      </c>
      <c r="N28" s="278">
        <f t="shared" si="20"/>
        <v>-2.4423975000000002</v>
      </c>
      <c r="O28" s="279"/>
      <c r="P28" s="193"/>
      <c r="Q28" s="280"/>
      <c r="R28" s="281"/>
      <c r="S28" s="282"/>
      <c r="T28" s="282"/>
      <c r="U28" s="282"/>
      <c r="V28" s="324"/>
    </row>
    <row r="29" spans="1:25" ht="27.75" customHeight="1" outlineLevel="1" x14ac:dyDescent="0.3">
      <c r="A29" s="464"/>
      <c r="B29" s="523"/>
      <c r="C29" s="3" t="s">
        <v>8</v>
      </c>
      <c r="D29" s="76" t="s">
        <v>9</v>
      </c>
      <c r="E29" s="542"/>
      <c r="F29" s="543"/>
      <c r="G29" s="247">
        <f>'[2]VOKA_Predr. obdobje plan 2014'!$BR$72</f>
        <v>0.70669999999999999</v>
      </c>
      <c r="H29" s="69">
        <f t="shared" si="18"/>
        <v>0.77383649999999993</v>
      </c>
      <c r="I29" s="64">
        <f t="shared" si="1"/>
        <v>0.77383649999999993</v>
      </c>
      <c r="J29" s="113"/>
      <c r="K29" s="292">
        <f>4*$L$2</f>
        <v>15.2</v>
      </c>
      <c r="L29" s="293"/>
      <c r="M29" s="293">
        <f t="shared" si="19"/>
        <v>11.762314799999999</v>
      </c>
      <c r="N29" s="293">
        <f t="shared" si="20"/>
        <v>11.762314799999999</v>
      </c>
      <c r="O29" s="199"/>
      <c r="P29" s="193"/>
      <c r="Q29" s="261"/>
      <c r="R29" s="259"/>
      <c r="S29" s="269"/>
      <c r="T29" s="269"/>
      <c r="U29" s="269"/>
      <c r="V29" s="325"/>
    </row>
    <row r="30" spans="1:25" ht="27.75" customHeight="1" outlineLevel="1" x14ac:dyDescent="0.3">
      <c r="A30" s="464"/>
      <c r="B30" s="524"/>
      <c r="C30" s="301" t="s">
        <v>99</v>
      </c>
      <c r="D30" s="288" t="s">
        <v>9</v>
      </c>
      <c r="E30" s="286"/>
      <c r="F30" s="287"/>
      <c r="G30" s="294">
        <v>5.28E-2</v>
      </c>
      <c r="H30" s="295">
        <f>ROUND(G30,4)*1</f>
        <v>5.28E-2</v>
      </c>
      <c r="I30" s="296">
        <f t="shared" si="1"/>
        <v>5.28E-2</v>
      </c>
      <c r="J30" s="297"/>
      <c r="K30" s="298">
        <f>4*$L$2</f>
        <v>15.2</v>
      </c>
      <c r="L30" s="291">
        <f>L24</f>
        <v>8.0301599999999986</v>
      </c>
      <c r="M30" s="291">
        <f t="shared" si="19"/>
        <v>0.80255999999999994</v>
      </c>
      <c r="N30" s="291">
        <f>M30-L30</f>
        <v>-7.2275999999999989</v>
      </c>
      <c r="O30" s="272">
        <f>N30/L30</f>
        <v>-0.90005678591709259</v>
      </c>
      <c r="P30" s="193"/>
      <c r="Q30" s="194"/>
      <c r="R30" s="188"/>
      <c r="S30" s="190"/>
      <c r="T30" s="190"/>
      <c r="U30" s="190"/>
      <c r="V30" s="313"/>
    </row>
    <row r="31" spans="1:25" ht="27.75" customHeight="1" outlineLevel="1" x14ac:dyDescent="0.3">
      <c r="A31" s="464"/>
      <c r="B31" s="536" t="s">
        <v>91</v>
      </c>
      <c r="C31" s="537"/>
      <c r="D31" s="302"/>
      <c r="E31" s="303"/>
      <c r="F31" s="304"/>
      <c r="G31" s="305"/>
      <c r="H31" s="306"/>
      <c r="I31" s="307"/>
      <c r="J31" s="308"/>
      <c r="K31" s="309"/>
      <c r="L31" s="310"/>
      <c r="M31" s="299">
        <f>SUM(M27:M30)</f>
        <v>15.007272299999999</v>
      </c>
      <c r="N31" s="299">
        <f>SUM(N27:N30)</f>
        <v>6.9771122999999999</v>
      </c>
      <c r="O31" s="311"/>
      <c r="P31" s="193"/>
      <c r="Q31" s="210"/>
      <c r="R31" s="210"/>
      <c r="S31" s="270"/>
      <c r="T31" s="271"/>
      <c r="U31" s="271"/>
      <c r="V31" s="326"/>
    </row>
    <row r="32" spans="1:25" ht="27.75" customHeight="1" thickBot="1" x14ac:dyDescent="0.35">
      <c r="A32" s="465"/>
      <c r="B32" s="515" t="s">
        <v>93</v>
      </c>
      <c r="C32" s="516"/>
      <c r="D32" s="517"/>
      <c r="E32" s="157"/>
      <c r="F32" s="158"/>
      <c r="G32" s="159"/>
      <c r="H32" s="158"/>
      <c r="I32" s="160"/>
      <c r="J32" s="165"/>
      <c r="K32" s="226"/>
      <c r="L32" s="228">
        <f>L21+L26</f>
        <v>23.7785814</v>
      </c>
      <c r="M32" s="228">
        <f>M21+M26</f>
        <v>22.0842879</v>
      </c>
      <c r="N32" s="186">
        <f>N21+N26</f>
        <v>-1.6942935000000006</v>
      </c>
      <c r="O32" s="230">
        <f>M32/L32</f>
        <v>0.92874707403697343</v>
      </c>
      <c r="P32" s="193"/>
      <c r="Q32" s="226"/>
      <c r="R32" s="226"/>
      <c r="S32" s="228">
        <f>S21+S26</f>
        <v>18.964506399999998</v>
      </c>
      <c r="T32" s="228">
        <f>T21+T26</f>
        <v>22.0842879</v>
      </c>
      <c r="U32" s="186">
        <f>U21+U26</f>
        <v>3.1197814999999993</v>
      </c>
      <c r="V32" s="319">
        <f>T32/S32</f>
        <v>1.1645063380083545</v>
      </c>
      <c r="X32" s="2">
        <f>N32/4</f>
        <v>-0.42357337500000014</v>
      </c>
      <c r="Y32" s="2">
        <f>U32/4</f>
        <v>0.77994537499999983</v>
      </c>
    </row>
    <row r="33" spans="1:25" ht="27.75" hidden="1" customHeight="1" outlineLevel="1" x14ac:dyDescent="0.35">
      <c r="A33" s="459" t="s">
        <v>13</v>
      </c>
      <c r="B33" s="518" t="s">
        <v>6</v>
      </c>
      <c r="C33" s="132" t="s">
        <v>30</v>
      </c>
      <c r="D33" s="133" t="s">
        <v>7</v>
      </c>
      <c r="E33" s="134">
        <v>1.792</v>
      </c>
      <c r="F33" s="135">
        <f>ROUND(E33,4)*1.095</f>
        <v>1.96224</v>
      </c>
      <c r="G33" s="136">
        <f>[2]VOKA_Omrežnina_predrač.2014_2!$P$34</f>
        <v>2.063210196586736</v>
      </c>
      <c r="H33" s="135">
        <f t="shared" ref="H33:H36" si="21">ROUND(G33,4)*1.095</f>
        <v>2.259204</v>
      </c>
      <c r="I33" s="137">
        <f t="shared" si="1"/>
        <v>0.29696400000000001</v>
      </c>
      <c r="J33" s="138">
        <f t="shared" si="2"/>
        <v>1.1513449757738481</v>
      </c>
      <c r="K33" s="231">
        <v>1</v>
      </c>
      <c r="L33" s="233">
        <f>K33*F33</f>
        <v>1.96224</v>
      </c>
      <c r="M33" s="233">
        <f>K33*H33</f>
        <v>2.259204</v>
      </c>
      <c r="N33" s="233">
        <f>M33-L33</f>
        <v>0.29696400000000001</v>
      </c>
      <c r="O33" s="235"/>
      <c r="P33" s="193"/>
      <c r="Q33" s="236" t="s">
        <v>73</v>
      </c>
      <c r="R33" s="231">
        <v>1</v>
      </c>
      <c r="S33" s="233">
        <v>0.72589999999999999</v>
      </c>
      <c r="T33" s="233">
        <f>R33*H33</f>
        <v>2.259204</v>
      </c>
      <c r="U33" s="233">
        <f>T33-S33</f>
        <v>1.533304</v>
      </c>
      <c r="V33" s="320"/>
    </row>
    <row r="34" spans="1:25" ht="27.75" hidden="1" customHeight="1" outlineLevel="1" x14ac:dyDescent="0.35">
      <c r="A34" s="460"/>
      <c r="B34" s="519"/>
      <c r="C34" s="143" t="s">
        <v>77</v>
      </c>
      <c r="D34" s="144" t="s">
        <v>7</v>
      </c>
      <c r="E34" s="145"/>
      <c r="F34" s="146"/>
      <c r="G34" s="147">
        <f>[2]VOKA_Omrežnina_predrač.2014_2!$AD$34</f>
        <v>-0.83739505597014929</v>
      </c>
      <c r="H34" s="146">
        <f t="shared" si="21"/>
        <v>-0.91695300000000002</v>
      </c>
      <c r="I34" s="148">
        <f>H34-F34</f>
        <v>-0.91695300000000002</v>
      </c>
      <c r="J34" s="149"/>
      <c r="K34" s="239"/>
      <c r="L34" s="240"/>
      <c r="M34" s="240"/>
      <c r="N34" s="240"/>
      <c r="O34" s="241"/>
      <c r="P34" s="193"/>
      <c r="Q34" s="194"/>
      <c r="R34" s="188"/>
      <c r="S34" s="190"/>
      <c r="T34" s="190"/>
      <c r="U34" s="190"/>
      <c r="V34" s="313"/>
    </row>
    <row r="35" spans="1:25" ht="27.75" hidden="1" customHeight="1" outlineLevel="1" x14ac:dyDescent="0.35">
      <c r="A35" s="460"/>
      <c r="B35" s="519"/>
      <c r="C35" s="3" t="s">
        <v>8</v>
      </c>
      <c r="D35" s="76" t="s">
        <v>9</v>
      </c>
      <c r="E35" s="12">
        <v>0.27300000000000002</v>
      </c>
      <c r="F35" s="69">
        <f>ROUND(E35,4)*1.095</f>
        <v>0.29893500000000001</v>
      </c>
      <c r="G35" s="246">
        <f>'[2]VOKA_Predr. obdobje plan 2014'!$AI$72</f>
        <v>0.4328617480159232</v>
      </c>
      <c r="H35" s="69">
        <f t="shared" si="21"/>
        <v>0.47402549999999999</v>
      </c>
      <c r="I35" s="64">
        <f t="shared" si="1"/>
        <v>0.17509049999999998</v>
      </c>
      <c r="J35" s="113">
        <f t="shared" si="2"/>
        <v>1.585574168556495</v>
      </c>
      <c r="K35" s="195">
        <f>4*$L$2</f>
        <v>15.2</v>
      </c>
      <c r="L35" s="197">
        <f>K35*F35</f>
        <v>4.543812</v>
      </c>
      <c r="M35" s="197">
        <f>K35*H35</f>
        <v>7.2051875999999995</v>
      </c>
      <c r="N35" s="197">
        <f>M35-L35</f>
        <v>2.6613755999999995</v>
      </c>
      <c r="O35" s="199"/>
      <c r="P35" s="193"/>
      <c r="Q35" s="195">
        <f>4*$L$2</f>
        <v>15.2</v>
      </c>
      <c r="R35" s="195">
        <f>4*$L$2</f>
        <v>15.2</v>
      </c>
      <c r="S35" s="197">
        <f>Q35*F35</f>
        <v>4.543812</v>
      </c>
      <c r="T35" s="197">
        <f>R35*H35</f>
        <v>7.2051875999999995</v>
      </c>
      <c r="U35" s="197">
        <f>T35-S35</f>
        <v>2.6613755999999995</v>
      </c>
      <c r="V35" s="314"/>
      <c r="X35">
        <f>N35/4</f>
        <v>0.66534389999999988</v>
      </c>
    </row>
    <row r="36" spans="1:25" ht="27.75" hidden="1" customHeight="1" outlineLevel="1" x14ac:dyDescent="0.35">
      <c r="A36" s="460"/>
      <c r="B36" s="519"/>
      <c r="C36" s="4" t="s">
        <v>10</v>
      </c>
      <c r="D36" s="77" t="s">
        <v>9</v>
      </c>
      <c r="E36" s="9">
        <v>6.3799999999999996E-2</v>
      </c>
      <c r="F36" s="70">
        <f>ROUND(E36,4)*1.095</f>
        <v>6.9860999999999993E-2</v>
      </c>
      <c r="G36" s="60">
        <v>6.3799999999999996E-2</v>
      </c>
      <c r="H36" s="70">
        <f t="shared" si="21"/>
        <v>6.9860999999999993E-2</v>
      </c>
      <c r="I36" s="65">
        <f t="shared" si="1"/>
        <v>0</v>
      </c>
      <c r="J36" s="114">
        <f t="shared" si="2"/>
        <v>1</v>
      </c>
      <c r="K36" s="200">
        <f>4*$L$2</f>
        <v>15.2</v>
      </c>
      <c r="L36" s="202">
        <f>K36*F36</f>
        <v>1.0618871999999999</v>
      </c>
      <c r="M36" s="202">
        <f>K36*H36</f>
        <v>1.0618871999999999</v>
      </c>
      <c r="N36" s="202">
        <f>M36-L36</f>
        <v>0</v>
      </c>
      <c r="O36" s="204"/>
      <c r="P36" s="193"/>
      <c r="Q36" s="200">
        <f>4*$L$2</f>
        <v>15.2</v>
      </c>
      <c r="R36" s="200">
        <f>4*$L$2</f>
        <v>15.2</v>
      </c>
      <c r="S36" s="202">
        <f>Q36*F36</f>
        <v>1.0618871999999999</v>
      </c>
      <c r="T36" s="202">
        <f>R36*H36</f>
        <v>1.0618871999999999</v>
      </c>
      <c r="U36" s="202">
        <f>T36-S36</f>
        <v>0</v>
      </c>
      <c r="V36" s="315"/>
    </row>
    <row r="37" spans="1:25" ht="27.75" hidden="1" customHeight="1" outlineLevel="1" x14ac:dyDescent="0.35">
      <c r="A37" s="460"/>
      <c r="B37" s="520"/>
      <c r="C37" s="154" t="s">
        <v>60</v>
      </c>
      <c r="D37" s="139"/>
      <c r="E37" s="152"/>
      <c r="F37" s="142"/>
      <c r="G37" s="152"/>
      <c r="H37" s="142"/>
      <c r="I37" s="153"/>
      <c r="J37" s="163"/>
      <c r="K37" s="205"/>
      <c r="L37" s="207">
        <f>SUM(L33:L36)</f>
        <v>7.5679392000000005</v>
      </c>
      <c r="M37" s="207">
        <f t="shared" ref="M37:N37" si="22">SUM(M33:M36)</f>
        <v>10.526278799999998</v>
      </c>
      <c r="N37" s="207">
        <f t="shared" si="22"/>
        <v>2.9583395999999995</v>
      </c>
      <c r="O37" s="209">
        <f>M37/L37</f>
        <v>1.3909042503935547</v>
      </c>
      <c r="P37" s="193"/>
      <c r="Q37" s="205"/>
      <c r="R37" s="205"/>
      <c r="S37" s="207">
        <f>SUM(S33:S36)</f>
        <v>6.3315992000000003</v>
      </c>
      <c r="T37" s="207">
        <f t="shared" ref="T37:U37" si="23">SUM(T33:T36)</f>
        <v>10.526278799999998</v>
      </c>
      <c r="U37" s="207">
        <f t="shared" si="23"/>
        <v>4.1946795999999997</v>
      </c>
      <c r="V37" s="321">
        <f>T37/S37</f>
        <v>1.6624992308420277</v>
      </c>
    </row>
    <row r="38" spans="1:25" ht="27.75" hidden="1" customHeight="1" thickBot="1" x14ac:dyDescent="0.35">
      <c r="A38" s="461"/>
      <c r="B38" s="515" t="s">
        <v>62</v>
      </c>
      <c r="C38" s="516"/>
      <c r="D38" s="517"/>
      <c r="E38" s="157"/>
      <c r="F38" s="158"/>
      <c r="G38" s="159"/>
      <c r="H38" s="158"/>
      <c r="I38" s="160"/>
      <c r="J38" s="165"/>
      <c r="K38" s="226"/>
      <c r="L38" s="228">
        <f>L37</f>
        <v>7.5679392000000005</v>
      </c>
      <c r="M38" s="228">
        <f t="shared" ref="M38:N38" si="24">M37</f>
        <v>10.526278799999998</v>
      </c>
      <c r="N38" s="187">
        <f t="shared" si="24"/>
        <v>2.9583395999999995</v>
      </c>
      <c r="O38" s="230">
        <f>M38/L38</f>
        <v>1.3909042503935547</v>
      </c>
      <c r="P38" s="193"/>
      <c r="Q38" s="226"/>
      <c r="R38" s="226"/>
      <c r="S38" s="228">
        <f>S37</f>
        <v>6.3315992000000003</v>
      </c>
      <c r="T38" s="228">
        <f t="shared" ref="T38:U38" si="25">T37</f>
        <v>10.526278799999998</v>
      </c>
      <c r="U38" s="186">
        <f t="shared" si="25"/>
        <v>4.1946795999999997</v>
      </c>
      <c r="V38" s="319">
        <f>T38/S38</f>
        <v>1.6624992308420277</v>
      </c>
      <c r="X38" s="2">
        <f>N38/4</f>
        <v>0.73958489999999988</v>
      </c>
      <c r="Y38" s="2">
        <f>U38/4</f>
        <v>1.0486698999999999</v>
      </c>
    </row>
    <row r="39" spans="1:25" ht="24.75" customHeight="1" x14ac:dyDescent="0.25">
      <c r="A39" s="156" t="s">
        <v>45</v>
      </c>
      <c r="B39" s="527" t="s">
        <v>95</v>
      </c>
      <c r="C39" s="527"/>
      <c r="E39" s="527" t="s">
        <v>98</v>
      </c>
      <c r="F39" s="527"/>
      <c r="K39" s="533" t="s">
        <v>98</v>
      </c>
      <c r="L39" s="534"/>
      <c r="M39" s="534"/>
    </row>
    <row r="40" spans="1:25" hidden="1" x14ac:dyDescent="0.25"/>
    <row r="41" spans="1:25" hidden="1" x14ac:dyDescent="0.25">
      <c r="B41" s="252" t="s">
        <v>89</v>
      </c>
      <c r="C41" s="253"/>
    </row>
    <row r="42" spans="1:25" hidden="1" x14ac:dyDescent="0.25">
      <c r="B42" t="s">
        <v>86</v>
      </c>
      <c r="C42" t="s">
        <v>88</v>
      </c>
      <c r="N42" s="2">
        <f>N5+N11</f>
        <v>-1.5794280000000005</v>
      </c>
      <c r="U42" s="2">
        <f>U5+U7+U11</f>
        <v>4.7988055000000003</v>
      </c>
    </row>
    <row r="43" spans="1:25" hidden="1" x14ac:dyDescent="0.25">
      <c r="B43" t="s">
        <v>12</v>
      </c>
      <c r="C43" t="s">
        <v>88</v>
      </c>
      <c r="N43" s="2">
        <f>N17+N22</f>
        <v>-1.6942935000000006</v>
      </c>
      <c r="U43" s="2">
        <f>U17+U18+U22</f>
        <v>3.1197814999999993</v>
      </c>
    </row>
    <row r="44" spans="1:25" hidden="1" x14ac:dyDescent="0.25">
      <c r="B44" t="s">
        <v>13</v>
      </c>
      <c r="C44" t="s">
        <v>88</v>
      </c>
      <c r="N44" s="2">
        <f>N33</f>
        <v>0.29696400000000001</v>
      </c>
      <c r="U44" s="2">
        <f>U33+U34</f>
        <v>1.533304</v>
      </c>
    </row>
    <row r="45" spans="1:25" hidden="1" x14ac:dyDescent="0.25">
      <c r="B45" s="73" t="s">
        <v>87</v>
      </c>
      <c r="N45" s="251">
        <f>AVERAGE(N42:N44)</f>
        <v>-0.99225250000000031</v>
      </c>
      <c r="U45" s="251">
        <f>AVERAGE(U42:U44)</f>
        <v>3.1506303333333334</v>
      </c>
    </row>
    <row r="46" spans="1:25" hidden="1" x14ac:dyDescent="0.25"/>
    <row r="47" spans="1:25" hidden="1" x14ac:dyDescent="0.25">
      <c r="B47" s="252" t="s">
        <v>90</v>
      </c>
      <c r="C47" s="252"/>
      <c r="N47" s="2"/>
    </row>
    <row r="48" spans="1:25" hidden="1" x14ac:dyDescent="0.25">
      <c r="B48" t="s">
        <v>86</v>
      </c>
      <c r="C48" t="s">
        <v>8</v>
      </c>
      <c r="N48" s="2">
        <f>(N8+N12)/4</f>
        <v>0.89503110000000008</v>
      </c>
    </row>
    <row r="49" spans="2:14" hidden="1" x14ac:dyDescent="0.25">
      <c r="B49" t="s">
        <v>12</v>
      </c>
      <c r="C49" t="s">
        <v>8</v>
      </c>
      <c r="N49" s="2">
        <f>(N19+N23)/4</f>
        <v>0</v>
      </c>
    </row>
    <row r="50" spans="2:14" hidden="1" x14ac:dyDescent="0.25">
      <c r="B50" t="s">
        <v>13</v>
      </c>
      <c r="C50" t="s">
        <v>8</v>
      </c>
      <c r="F50" s="179"/>
      <c r="H50" s="179"/>
      <c r="N50" s="2">
        <f>N35/4</f>
        <v>0.66534389999999988</v>
      </c>
    </row>
    <row r="51" spans="2:14" hidden="1" x14ac:dyDescent="0.25">
      <c r="B51" s="73" t="s">
        <v>87</v>
      </c>
      <c r="F51" s="179"/>
      <c r="H51" s="179"/>
      <c r="N51" s="251">
        <f>AVERAGE(N48:N50)</f>
        <v>0.52012500000000006</v>
      </c>
    </row>
    <row r="52" spans="2:14" hidden="1" x14ac:dyDescent="0.25">
      <c r="E52" s="2"/>
      <c r="F52" s="179"/>
      <c r="G52" s="2"/>
      <c r="H52" s="179"/>
      <c r="I52" s="2"/>
      <c r="J52" s="2"/>
      <c r="N52" s="2"/>
    </row>
    <row r="53" spans="2:14" ht="24" customHeight="1" x14ac:dyDescent="0.25">
      <c r="B53" s="531" t="s">
        <v>100</v>
      </c>
      <c r="C53" s="532"/>
      <c r="F53" s="179"/>
      <c r="H53" s="328"/>
    </row>
    <row r="54" spans="2:14" x14ac:dyDescent="0.25">
      <c r="F54" s="179"/>
      <c r="H54" s="328"/>
      <c r="K54" s="336" t="s">
        <v>103</v>
      </c>
      <c r="L54" s="253"/>
      <c r="M54" s="253"/>
    </row>
    <row r="55" spans="2:14" x14ac:dyDescent="0.25">
      <c r="F55" s="179"/>
      <c r="H55" s="179"/>
      <c r="K55" s="253" t="s">
        <v>112</v>
      </c>
      <c r="L55" s="253"/>
      <c r="M55" s="253"/>
      <c r="N55" s="2"/>
    </row>
    <row r="56" spans="2:14" x14ac:dyDescent="0.25">
      <c r="F56" s="179"/>
      <c r="H56" s="179"/>
    </row>
    <row r="57" spans="2:14" x14ac:dyDescent="0.25">
      <c r="F57" s="179"/>
      <c r="H57" s="179"/>
      <c r="K57" t="s">
        <v>109</v>
      </c>
    </row>
    <row r="58" spans="2:14" x14ac:dyDescent="0.25">
      <c r="F58" s="179"/>
      <c r="H58" s="179"/>
      <c r="K58" t="s">
        <v>104</v>
      </c>
    </row>
    <row r="59" spans="2:14" x14ac:dyDescent="0.25">
      <c r="F59" s="179"/>
      <c r="H59" s="179"/>
      <c r="K59" t="s">
        <v>105</v>
      </c>
    </row>
    <row r="60" spans="2:14" x14ac:dyDescent="0.25">
      <c r="F60" s="179"/>
      <c r="H60" s="179"/>
    </row>
    <row r="61" spans="2:14" x14ac:dyDescent="0.25">
      <c r="F61" s="179"/>
      <c r="H61" s="179"/>
    </row>
    <row r="62" spans="2:14" x14ac:dyDescent="0.25">
      <c r="F62" s="179"/>
      <c r="H62" s="179"/>
    </row>
    <row r="63" spans="2:14" x14ac:dyDescent="0.25">
      <c r="F63" s="179"/>
      <c r="H63" s="179"/>
    </row>
    <row r="64" spans="2:14" x14ac:dyDescent="0.25">
      <c r="F64" s="179"/>
      <c r="H64" s="179"/>
    </row>
    <row r="65" spans="6:8" x14ac:dyDescent="0.25">
      <c r="F65" s="179"/>
      <c r="H65" s="179"/>
    </row>
    <row r="66" spans="6:8" x14ac:dyDescent="0.25">
      <c r="F66" s="179"/>
      <c r="H66" s="179"/>
    </row>
    <row r="67" spans="6:8" x14ac:dyDescent="0.25">
      <c r="F67" s="179"/>
      <c r="H67" s="179"/>
    </row>
    <row r="68" spans="6:8" x14ac:dyDescent="0.25">
      <c r="F68" s="179"/>
      <c r="H68" s="179"/>
    </row>
    <row r="69" spans="6:8" x14ac:dyDescent="0.25">
      <c r="F69" s="179"/>
      <c r="H69" s="179"/>
    </row>
    <row r="70" spans="6:8" x14ac:dyDescent="0.25">
      <c r="F70" s="179"/>
      <c r="H70" s="179"/>
    </row>
    <row r="71" spans="6:8" x14ac:dyDescent="0.25">
      <c r="F71" s="179"/>
      <c r="H71" s="179"/>
    </row>
    <row r="72" spans="6:8" x14ac:dyDescent="0.25">
      <c r="F72" s="179"/>
      <c r="H72" s="179"/>
    </row>
    <row r="73" spans="6:8" x14ac:dyDescent="0.25">
      <c r="F73" s="179"/>
      <c r="H73" s="179"/>
    </row>
    <row r="74" spans="6:8" x14ac:dyDescent="0.25">
      <c r="F74" s="179"/>
      <c r="H74" s="179"/>
    </row>
    <row r="75" spans="6:8" x14ac:dyDescent="0.25">
      <c r="F75" s="179"/>
      <c r="H75" s="179"/>
    </row>
    <row r="76" spans="6:8" x14ac:dyDescent="0.25">
      <c r="F76" s="179"/>
      <c r="H76" s="179"/>
    </row>
    <row r="77" spans="6:8" x14ac:dyDescent="0.25">
      <c r="F77" s="179"/>
      <c r="H77" s="179"/>
    </row>
    <row r="78" spans="6:8" x14ac:dyDescent="0.25">
      <c r="F78" s="179"/>
      <c r="H78" s="179"/>
    </row>
    <row r="79" spans="6:8" x14ac:dyDescent="0.25">
      <c r="F79" s="179"/>
      <c r="H79" s="179"/>
    </row>
    <row r="80" spans="6:8" x14ac:dyDescent="0.25">
      <c r="F80" s="179"/>
      <c r="H80" s="179"/>
    </row>
    <row r="81" spans="6:8" x14ac:dyDescent="0.25">
      <c r="F81" s="179"/>
      <c r="H81" s="179"/>
    </row>
    <row r="82" spans="6:8" x14ac:dyDescent="0.25">
      <c r="F82" s="179"/>
      <c r="H82" s="179"/>
    </row>
    <row r="83" spans="6:8" x14ac:dyDescent="0.25">
      <c r="F83" s="179"/>
      <c r="H83" s="179"/>
    </row>
    <row r="84" spans="6:8" x14ac:dyDescent="0.25">
      <c r="F84" s="179"/>
      <c r="H84" s="179"/>
    </row>
    <row r="85" spans="6:8" x14ac:dyDescent="0.25">
      <c r="F85" s="179"/>
      <c r="H85" s="179"/>
    </row>
    <row r="86" spans="6:8" x14ac:dyDescent="0.25">
      <c r="F86" s="179"/>
      <c r="H86" s="179"/>
    </row>
    <row r="87" spans="6:8" x14ac:dyDescent="0.25">
      <c r="F87" s="179"/>
      <c r="H87" s="179"/>
    </row>
    <row r="88" spans="6:8" x14ac:dyDescent="0.25">
      <c r="F88" s="179"/>
      <c r="H88" s="179"/>
    </row>
    <row r="89" spans="6:8" x14ac:dyDescent="0.25">
      <c r="F89" s="179"/>
      <c r="H89" s="179"/>
    </row>
    <row r="90" spans="6:8" x14ac:dyDescent="0.25">
      <c r="F90" s="179"/>
      <c r="H90" s="179"/>
    </row>
    <row r="91" spans="6:8" x14ac:dyDescent="0.25">
      <c r="F91" s="179"/>
      <c r="H91" s="179"/>
    </row>
    <row r="92" spans="6:8" x14ac:dyDescent="0.25">
      <c r="F92" s="179"/>
      <c r="H92" s="179"/>
    </row>
    <row r="93" spans="6:8" x14ac:dyDescent="0.25">
      <c r="F93" s="179"/>
      <c r="H93" s="179"/>
    </row>
  </sheetData>
  <mergeCells count="24">
    <mergeCell ref="B39:C39"/>
    <mergeCell ref="E39:F39"/>
    <mergeCell ref="K39:M39"/>
    <mergeCell ref="B53:C53"/>
    <mergeCell ref="E27:F29"/>
    <mergeCell ref="B31:C31"/>
    <mergeCell ref="B32:D32"/>
    <mergeCell ref="A33:A38"/>
    <mergeCell ref="B33:B37"/>
    <mergeCell ref="B38:D38"/>
    <mergeCell ref="A5:A16"/>
    <mergeCell ref="B5:B10"/>
    <mergeCell ref="B11:B15"/>
    <mergeCell ref="B16:D16"/>
    <mergeCell ref="A17:A32"/>
    <mergeCell ref="B17:B21"/>
    <mergeCell ref="B22:B25"/>
    <mergeCell ref="B27:B30"/>
    <mergeCell ref="Q4:R4"/>
    <mergeCell ref="A3:C3"/>
    <mergeCell ref="E3:F3"/>
    <mergeCell ref="G3:H3"/>
    <mergeCell ref="K3:O3"/>
    <mergeCell ref="Q3:V3"/>
  </mergeCells>
  <pageMargins left="0.23622047244094491" right="0.23622047244094491" top="0.39370078740157483" bottom="0.27559055118110237" header="0.15748031496062992" footer="0.15748031496062992"/>
  <pageSetup paperSize="9" scale="55" fitToWidth="2" orientation="landscape" r:id="rId1"/>
  <headerFooter>
    <oddHeader>&amp;L&amp;G&amp;CPrimerjava prodajnih cen VOKA&amp;RVar 3_Prevalje</oddHeader>
    <oddFooter>&amp;L                                                                                                          
Ravne na Koroškem, &amp;D&amp;CIzdelala: Andreja Jehart&amp;RStran &amp;P/&amp;N</oddFooter>
  </headerFooter>
  <colBreaks count="1" manualBreakCount="1">
    <brk id="10" max="1048575" man="1"/>
  </colBreaks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workbookViewId="0"/>
  </sheetViews>
  <sheetFormatPr defaultRowHeight="15.75" x14ac:dyDescent="0.25"/>
  <cols>
    <col min="8" max="8" width="11.28515625" customWidth="1"/>
    <col min="10" max="10" width="10.140625" customWidth="1"/>
  </cols>
  <sheetData>
    <row r="2" spans="2:10" x14ac:dyDescent="0.25">
      <c r="E2" s="546" t="s">
        <v>18</v>
      </c>
      <c r="F2" s="547"/>
      <c r="G2" s="548"/>
      <c r="H2" s="546" t="s">
        <v>28</v>
      </c>
      <c r="I2" s="547"/>
      <c r="J2" s="548"/>
    </row>
    <row r="3" spans="2:10" ht="94.5" x14ac:dyDescent="0.25">
      <c r="B3" s="27" t="s">
        <v>1</v>
      </c>
      <c r="C3" s="28"/>
      <c r="D3" s="26" t="s">
        <v>3</v>
      </c>
      <c r="E3" s="6" t="s">
        <v>25</v>
      </c>
      <c r="F3" s="7" t="s">
        <v>26</v>
      </c>
      <c r="G3" s="8" t="s">
        <v>27</v>
      </c>
      <c r="H3" s="29" t="s">
        <v>22</v>
      </c>
      <c r="I3" s="7" t="s">
        <v>24</v>
      </c>
      <c r="J3" s="8" t="s">
        <v>19</v>
      </c>
    </row>
    <row r="4" spans="2:10" ht="18.75" x14ac:dyDescent="0.25">
      <c r="B4" s="15" t="s">
        <v>16</v>
      </c>
      <c r="C4" s="18"/>
      <c r="D4" s="5" t="s">
        <v>9</v>
      </c>
      <c r="E4" s="23">
        <f>'JKP LOG'!G7</f>
        <v>0.52210000000000001</v>
      </c>
      <c r="F4" s="24">
        <f>'JKP LOG'!G13</f>
        <v>0.52990000000000004</v>
      </c>
      <c r="G4" s="25">
        <f>'JKP LOG'!G19</f>
        <v>0.51239999999999997</v>
      </c>
      <c r="H4" s="30">
        <f>0.7271-0.0638</f>
        <v>0.6633</v>
      </c>
      <c r="I4" s="24">
        <v>0.52849999999999997</v>
      </c>
      <c r="J4" s="25">
        <v>0.36820000000000003</v>
      </c>
    </row>
    <row r="5" spans="2:10" ht="18.75" x14ac:dyDescent="0.25">
      <c r="B5" s="16" t="s">
        <v>23</v>
      </c>
      <c r="C5" s="19"/>
      <c r="D5" s="22" t="s">
        <v>9</v>
      </c>
      <c r="E5" s="12">
        <v>6.3799999999999996E-2</v>
      </c>
      <c r="F5" s="13">
        <v>6.3799999999999996E-2</v>
      </c>
      <c r="G5" s="14">
        <v>6.3799999999999996E-2</v>
      </c>
      <c r="H5" s="31">
        <v>6.3799999999999996E-2</v>
      </c>
      <c r="I5" s="13">
        <v>6.3799999999999996E-2</v>
      </c>
      <c r="J5" s="14">
        <v>6.3799999999999996E-2</v>
      </c>
    </row>
    <row r="6" spans="2:10" ht="18.75" x14ac:dyDescent="0.25">
      <c r="B6" s="17" t="s">
        <v>17</v>
      </c>
      <c r="C6" s="20"/>
      <c r="D6" s="21" t="s">
        <v>9</v>
      </c>
      <c r="E6" s="9">
        <f>'JKP LOG'!G10</f>
        <v>0.29909999999999998</v>
      </c>
      <c r="F6" s="10">
        <f>'JKP LOG'!G16</f>
        <v>0.29260000000000003</v>
      </c>
      <c r="G6" s="33"/>
      <c r="H6" s="32">
        <v>0.1134</v>
      </c>
      <c r="I6" s="10">
        <v>0.2036</v>
      </c>
      <c r="J6" s="11">
        <v>0.2651</v>
      </c>
    </row>
    <row r="7" spans="2:10" x14ac:dyDescent="0.25">
      <c r="E7" s="2"/>
      <c r="F7" s="2"/>
      <c r="G7" s="2"/>
      <c r="I7" s="2"/>
      <c r="J7" s="2" t="s">
        <v>20</v>
      </c>
    </row>
    <row r="8" spans="2:10" x14ac:dyDescent="0.25">
      <c r="E8" s="2"/>
      <c r="F8" s="2"/>
      <c r="G8" s="2"/>
      <c r="I8" s="2"/>
      <c r="J8" s="2" t="s">
        <v>21</v>
      </c>
    </row>
  </sheetData>
  <mergeCells count="2"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16</vt:i4>
      </vt:variant>
    </vt:vector>
  </HeadingPairs>
  <TitlesOfParts>
    <vt:vector size="26" baseType="lpstr">
      <vt:lpstr>JKP LOG</vt:lpstr>
      <vt:lpstr>skupaj_predlog1</vt:lpstr>
      <vt:lpstr>skupaj_ predlog2</vt:lpstr>
      <vt:lpstr>skupaj_ predlog2_znižano Pr</vt:lpstr>
      <vt:lpstr>skupaj_ predlog3_</vt:lpstr>
      <vt:lpstr>skupaj_ var1_Prevalje </vt:lpstr>
      <vt:lpstr>skupaj_ var2_Prevalje</vt:lpstr>
      <vt:lpstr>skupaj_ var3_Prevalje_FIKS.DEL</vt:lpstr>
      <vt:lpstr>druge komunale</vt:lpstr>
      <vt:lpstr>Dodatne Variante_Prevalje</vt:lpstr>
      <vt:lpstr>'Dodatne Variante_Prevalje'!Področje_tiskanja</vt:lpstr>
      <vt:lpstr>'skupaj_ predlog2'!Področje_tiskanja</vt:lpstr>
      <vt:lpstr>'skupaj_ predlog2_znižano Pr'!Področje_tiskanja</vt:lpstr>
      <vt:lpstr>'skupaj_ predlog3_'!Področje_tiskanja</vt:lpstr>
      <vt:lpstr>'skupaj_ var1_Prevalje '!Področje_tiskanja</vt:lpstr>
      <vt:lpstr>'skupaj_ var2_Prevalje'!Področje_tiskanja</vt:lpstr>
      <vt:lpstr>'skupaj_ var3_Prevalje_FIKS.DEL'!Področje_tiskanja</vt:lpstr>
      <vt:lpstr>'Dodatne Variante_Prevalje'!Tiskanje_naslovov</vt:lpstr>
      <vt:lpstr>'JKP LOG'!Tiskanje_naslovov</vt:lpstr>
      <vt:lpstr>'skupaj_ predlog2'!Tiskanje_naslovov</vt:lpstr>
      <vt:lpstr>'skupaj_ predlog2_znižano Pr'!Tiskanje_naslovov</vt:lpstr>
      <vt:lpstr>'skupaj_ predlog3_'!Tiskanje_naslovov</vt:lpstr>
      <vt:lpstr>'skupaj_ var1_Prevalje '!Tiskanje_naslovov</vt:lpstr>
      <vt:lpstr>'skupaj_ var2_Prevalje'!Tiskanje_naslovov</vt:lpstr>
      <vt:lpstr>'skupaj_ var3_Prevalje_FIKS.DEL'!Tiskanje_naslovov</vt:lpstr>
      <vt:lpstr>skupaj_predlog1!Tiskanje_naslovov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</dc:creator>
  <cp:lastModifiedBy>Andreja</cp:lastModifiedBy>
  <cp:lastPrinted>2014-01-20T12:05:50Z</cp:lastPrinted>
  <dcterms:created xsi:type="dcterms:W3CDTF">2013-06-10T07:42:00Z</dcterms:created>
  <dcterms:modified xsi:type="dcterms:W3CDTF">2014-01-21T09:52:23Z</dcterms:modified>
  <cp:contentStatus/>
</cp:coreProperties>
</file>