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INANČNI NAČRT MIR 2019" sheetId="1" r:id="rId1"/>
    <sheet name="stroški" sheetId="2" r:id="rId2"/>
    <sheet name="KONTI PLAČ" sheetId="3" r:id="rId3"/>
    <sheet name="zaposleni - konti" sheetId="4" state="hidden" r:id="rId4"/>
  </sheets>
  <definedNames>
    <definedName name="_xlnm.Print_Area" localSheetId="1">'stroški'!$A$1:$P$82</definedName>
  </definedNames>
  <calcPr fullCalcOnLoad="1"/>
</workbook>
</file>

<file path=xl/sharedStrings.xml><?xml version="1.0" encoding="utf-8"?>
<sst xmlns="http://schemas.openxmlformats.org/spreadsheetml/2006/main" count="309" uniqueCount="206">
  <si>
    <t>SKUPAJ</t>
  </si>
  <si>
    <t>Glavni program: Skupna občinska uprava</t>
  </si>
  <si>
    <t>Občina Vojnik</t>
  </si>
  <si>
    <t>Občina Zreče</t>
  </si>
  <si>
    <t>Občina Vitanje</t>
  </si>
  <si>
    <t>Občina Dobrna</t>
  </si>
  <si>
    <t>Občina Šentjur</t>
  </si>
  <si>
    <t>Občina Slovenske Konjice</t>
  </si>
  <si>
    <t>Občina Oplotnica</t>
  </si>
  <si>
    <t>ogrevanje</t>
  </si>
  <si>
    <t>skupaj</t>
  </si>
  <si>
    <t>število prebivalcev</t>
  </si>
  <si>
    <t>Občina Dobje</t>
  </si>
  <si>
    <t>materialni stroški :</t>
  </si>
  <si>
    <t>voda</t>
  </si>
  <si>
    <t>elektrika</t>
  </si>
  <si>
    <t>čiščenje</t>
  </si>
  <si>
    <t>odvoz smeti</t>
  </si>
  <si>
    <t>telefon</t>
  </si>
  <si>
    <t>konto:</t>
  </si>
  <si>
    <t>stroški vozila (gorivo, registracija, servis):</t>
  </si>
  <si>
    <t>najem mobilne enote z radarjem</t>
  </si>
  <si>
    <t>skupina:</t>
  </si>
  <si>
    <t>delež prebivalcev</t>
  </si>
  <si>
    <t>Občina Slov. Konjice</t>
  </si>
  <si>
    <t>zdravniški pregledi</t>
  </si>
  <si>
    <t xml:space="preserve">površina občine  </t>
  </si>
  <si>
    <t>delež površine</t>
  </si>
  <si>
    <t>pisarniški  material</t>
  </si>
  <si>
    <t>seštevek</t>
  </si>
  <si>
    <t xml:space="preserve">a) zaposleni (402) </t>
  </si>
  <si>
    <t>b) ostali stoški (402)</t>
  </si>
  <si>
    <t>ključ za mobilno enoto z radarjem</t>
  </si>
  <si>
    <t>SKUPAJ 402</t>
  </si>
  <si>
    <t>DELITEV STROŠKOV</t>
  </si>
  <si>
    <t>stroški računovodstva</t>
  </si>
  <si>
    <t>ostalo:</t>
  </si>
  <si>
    <t>ključ za mobilno enoto</t>
  </si>
  <si>
    <t>komisija za prisilna sredstva</t>
  </si>
  <si>
    <t>razni manjši stroški</t>
  </si>
  <si>
    <t>hotelske storitve v državi</t>
  </si>
  <si>
    <t>Razmerja delitve stroškov PLAČ:</t>
  </si>
  <si>
    <t>varovanje</t>
  </si>
  <si>
    <t>zavarovanje stavbe</t>
  </si>
  <si>
    <t>vzdrževanje programov (samo ODOS)</t>
  </si>
  <si>
    <t>poština in kurirske storitve</t>
  </si>
  <si>
    <t>reprezentanca</t>
  </si>
  <si>
    <t>1.</t>
  </si>
  <si>
    <t xml:space="preserve">najemnina </t>
  </si>
  <si>
    <t>SKUPAJ 420</t>
  </si>
  <si>
    <t>zavarovanje (ARAG)</t>
  </si>
  <si>
    <t>vzdrževanje prekrškovne aplikacije</t>
  </si>
  <si>
    <t>skupaj brez zavarovanja</t>
  </si>
  <si>
    <t>storitve odvetnikov, sodni stroški</t>
  </si>
  <si>
    <t>Opombe:</t>
  </si>
  <si>
    <t>-</t>
  </si>
  <si>
    <t>upošteva se polni delovni čas (174 normiranih ur)</t>
  </si>
  <si>
    <t>PP 5000102</t>
  </si>
  <si>
    <t>PP 5000103</t>
  </si>
  <si>
    <t>PP 5000110</t>
  </si>
  <si>
    <t>oprema:</t>
  </si>
  <si>
    <t>vzdrževanja in popravila vozil</t>
  </si>
  <si>
    <t>Nadurno delo</t>
  </si>
  <si>
    <t>HKOM</t>
  </si>
  <si>
    <t>strokovna literatura, prekrški.si</t>
  </si>
  <si>
    <t>ostali drobni inventar (lisice, torbica, GSM, oprema avta, fotoaparat, plinski razpršilec,..)</t>
  </si>
  <si>
    <t>licenčnine</t>
  </si>
  <si>
    <t>Branko Petre</t>
  </si>
  <si>
    <t>Irena Špegel Jovan</t>
  </si>
  <si>
    <t>Nataša Kos</t>
  </si>
  <si>
    <t>Župan Občine Vojnik</t>
  </si>
  <si>
    <t>Predlagatelj: Branko Petre</t>
  </si>
  <si>
    <t>Podatki občanov s stalnim bivališčem na dan 1.1.2014 (vir: Statistični urad RS)</t>
  </si>
  <si>
    <t>skupni ključ STARI</t>
  </si>
  <si>
    <t>skupni ključ NOVI</t>
  </si>
  <si>
    <t>RAZLIKA</t>
  </si>
  <si>
    <t>najem mobilne tehtnice</t>
  </si>
  <si>
    <t>Podatki občanov s stalnim bivališčem na dan 1.1.2009 (vir: Statistični urad RS)</t>
  </si>
  <si>
    <t>UPOŠTEVAN STARI KLJUČ</t>
  </si>
  <si>
    <t>registracija, zavarovanje, vinjeta</t>
  </si>
  <si>
    <t xml:space="preserve">gorivo </t>
  </si>
  <si>
    <t>vzdrževanje računalnikov</t>
  </si>
  <si>
    <t>skupaj z radarjem in tehtanjem</t>
  </si>
  <si>
    <t>najem zunanje enote za arhiviranje</t>
  </si>
  <si>
    <t>promocija zdravja</t>
  </si>
  <si>
    <t>PP 5000101</t>
  </si>
  <si>
    <t>Konto</t>
  </si>
  <si>
    <t>Vsebina konta</t>
  </si>
  <si>
    <t>Inšpektor
višji
svetnik
I
(Kos)</t>
  </si>
  <si>
    <t>Inšpektor
II
(Rezar)</t>
  </si>
  <si>
    <t>Skupaj</t>
  </si>
  <si>
    <t>Plačni razred</t>
  </si>
  <si>
    <t>Premijski razred</t>
  </si>
  <si>
    <t>11.</t>
  </si>
  <si>
    <t>9.</t>
  </si>
  <si>
    <t>Bruto plače zaposlenih</t>
  </si>
  <si>
    <t>Dodatek za delovno dobo</t>
  </si>
  <si>
    <t>Dodatek za delo v posebnih pogojih</t>
  </si>
  <si>
    <t>Položajni dodatek</t>
  </si>
  <si>
    <t>Regres za letni dopust</t>
  </si>
  <si>
    <t>Prehrana</t>
  </si>
  <si>
    <t>Prevoz</t>
  </si>
  <si>
    <t>Delovna uspešnost povečan obseg dela</t>
  </si>
  <si>
    <t>Prispevek PIZ - 6,56 %</t>
  </si>
  <si>
    <t>Prispevek ZZ - 8,85 %</t>
  </si>
  <si>
    <t>Prispevek poškodbe pri delu - 0,53 %</t>
  </si>
  <si>
    <t>Prispevek za zaposlovanje - 0,06 %</t>
  </si>
  <si>
    <t>Prispevek za starševsko varstvo - 0,10 %</t>
  </si>
  <si>
    <t>Premija dodatno pokojninsko zavarovanje</t>
  </si>
  <si>
    <t>Dnevnice za službeno potovanje v državi</t>
  </si>
  <si>
    <t>Stroški prevoza v državi (kilometrina, parkirnina)</t>
  </si>
  <si>
    <t>Prispevek invalidi</t>
  </si>
  <si>
    <t>Solidarnostna pomoč - Kramar</t>
  </si>
  <si>
    <t>SKUPAJ VSI STROŠKI</t>
  </si>
  <si>
    <t>upošteva se povprečno 20 delovnih dni na mesec (za izračun prehrane in potnih stroškov)</t>
  </si>
  <si>
    <t>Povzetek po zaposlenih</t>
  </si>
  <si>
    <t>Bruto skupaj</t>
  </si>
  <si>
    <t>Prispevki skupaj</t>
  </si>
  <si>
    <t>Materialni stroški skupaj</t>
  </si>
  <si>
    <t>Regres</t>
  </si>
  <si>
    <t>Skupaj z regresom</t>
  </si>
  <si>
    <t>ODHODKI SKUPAJ</t>
  </si>
  <si>
    <t xml:space="preserve">Jubilejne nagrade </t>
  </si>
  <si>
    <t xml:space="preserve">Solidarnostna pomoč </t>
  </si>
  <si>
    <t>K  L  J  U  Č    D  E  L  I  T  V  E</t>
  </si>
  <si>
    <t>stoli 6 kom</t>
  </si>
  <si>
    <t>tiskalnika</t>
  </si>
  <si>
    <t xml:space="preserve">nakup računalniške opreme </t>
  </si>
  <si>
    <t>Teržan</t>
  </si>
  <si>
    <t>Krajcar</t>
  </si>
  <si>
    <t>Vahter</t>
  </si>
  <si>
    <t>Kramar</t>
  </si>
  <si>
    <t>Rezar</t>
  </si>
  <si>
    <t>Kos</t>
  </si>
  <si>
    <t>Prorač. uporabnik: Skupna občinska uprava Medobčinski inšpektorat in redarstvo občin Dobrna, Dobje, Oplotnica, Slovenske Konjice, Šentjur, Vitanje, Vojnik in Zreče</t>
  </si>
  <si>
    <t>Keršova ulica 12, 3212 Vojnik</t>
  </si>
  <si>
    <t>Šifra PU:</t>
  </si>
  <si>
    <t>Vodja SOU: Nataša Kos, inspekcija@vojnik.si, tel.  0820 51 922, 031 363 016</t>
  </si>
  <si>
    <r>
      <t>PRIHODKI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Skupna občinska uprava Medobčinski inšpektorat in redarstvo občin Dobrna, Dobje,  Oplotnica, Slovenske Konjice, Šentjur, Vitanje, Vojnik in Zreče</t>
    </r>
  </si>
  <si>
    <t>transferni prihodki iz drugih javnofinančnih institucij</t>
  </si>
  <si>
    <t xml:space="preserve">prejeta sredstva iz državnega proračuna za tekočo porabo </t>
  </si>
  <si>
    <t>prejeta sredstva občinskih proračunov</t>
  </si>
  <si>
    <r>
      <t>ODHODKI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Skupna občinska uprava Medobčinski inšpektorat  in redarstvo občin Dobrna, Dobje, Vitanje, Vojnik, Zreče, Šentjur, Slovenske Konjice in Oplotnica</t>
    </r>
  </si>
  <si>
    <t>PLAČE IN DRUGI IZDATKI ZAPOSLENIM</t>
  </si>
  <si>
    <t>PRISPEVKI DELODAJALCEV ZA SOC. VARNOST</t>
  </si>
  <si>
    <t>IZDATKI ZA BLAGO IN STORITVE</t>
  </si>
  <si>
    <t>INVESTICIJSKI ODHODKI</t>
  </si>
  <si>
    <r>
      <t>RAČUN FINANČNIH TERJATEV IN NALOŽB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Skupna občinska uprava Medobčinski inšpektorat in redarstvo  občin Dobrna, Dobje, Vitanje, Vojnik, Zreče, Šentjur, Slovenske Konjice in Oplotnica</t>
    </r>
  </si>
  <si>
    <r>
      <t>RAČUN FINANCIRANJA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Skupna občinska uprava Medobčinski inšpektorat in redarstvo občin Dobrna, Dobje, Vitanje, Vojnik, Zreče, Šentjur, Slovenske Konjice in Oplotnica</t>
    </r>
  </si>
  <si>
    <t>Podsekretarka za finance in proračun</t>
  </si>
  <si>
    <t>Vodja SOU</t>
  </si>
  <si>
    <t>a) str. računovodstva (400)</t>
  </si>
  <si>
    <t>b) zaposleni (400)</t>
  </si>
  <si>
    <t>PRIHODKI SKUPAJ</t>
  </si>
  <si>
    <t>PRIHODKI REBALANS proračuna  2018</t>
  </si>
  <si>
    <t>ODHODKI REBALANS proračuna   2018</t>
  </si>
  <si>
    <t>Rebalans 2018</t>
  </si>
  <si>
    <t>rebalans 2018</t>
  </si>
  <si>
    <t>plan 2019</t>
  </si>
  <si>
    <t>uniforma (r 3.000 + i 300)</t>
  </si>
  <si>
    <t>čiščenje uniforme, sanit. material z najemom</t>
  </si>
  <si>
    <t>tekoče vzdrževanje (servis klime, pleskanje, dimnik.)</t>
  </si>
  <si>
    <t>varstvo pri delu, meritve mikroklime</t>
  </si>
  <si>
    <t>Občinski
redar
I
(Kramar)</t>
  </si>
  <si>
    <t>Občinski
redar
I
(Vahter)</t>
  </si>
  <si>
    <t>Občinski
redar
Svetovalec
II
(Krajcar)</t>
  </si>
  <si>
    <t>Občinski
redar
I
(Teržan)</t>
  </si>
  <si>
    <t>Prispevek PIZ - 8,85 %</t>
  </si>
  <si>
    <t>Prispevek ZZ - 6,56 %</t>
  </si>
  <si>
    <t>Jubilejne nagrade - Vahter - 10 let, Krajcar - 10 let</t>
  </si>
  <si>
    <t>znesek prehrane je predviden 3,88 €/dan - veljavno na dan 27.9.2018; prevoz pa mesečna vozovnica od 1.9.2018 dalje oz. znižana kilometrina pavšalno</t>
  </si>
  <si>
    <t>regres je upoštevan v višini minimalne plače - v skladu z pojasnili glede plač z dne 15.1.2018 (št. 100-84/2018/1) - veljavno na dan 27.9.2018</t>
  </si>
  <si>
    <t>upošteva se plačna lestvica, ki velja od 1.9.2016 dalje (enaka kot od 1.6.2012 dalje) - veljavno na dan 27.9.2018</t>
  </si>
  <si>
    <t>upošteva se vrednost premijskih razredov kolektivnega dodatnega pokojninskega zavarovanja - v skladu z pojasnili glede plač z dne 15.1.2018 (št. 100-84/2018/1) - veljavno na dan 27.9.2018</t>
  </si>
  <si>
    <t>stroški računov. 2019 SKUPAJ</t>
  </si>
  <si>
    <t>(skupaj plače Vojnik)</t>
  </si>
  <si>
    <t>Prihodek občina Vojnik</t>
  </si>
  <si>
    <t>strošek plač</t>
  </si>
  <si>
    <t>vitanje</t>
  </si>
  <si>
    <t>47./48.</t>
  </si>
  <si>
    <t>zaposleni imajo pri plačnem razredu prikazan dvig zaradi pogajanj: prvi razred-plača 12/2018, drugi razred plača 1-10/2019 in tretji razred plača 11/2019 (oz. če sta prikazana samo dva razreda - prvi razred-plača 12/2018, drugi razred plača 1-11/2019)</t>
  </si>
  <si>
    <t>28./29.</t>
  </si>
  <si>
    <t>29./30.</t>
  </si>
  <si>
    <t>33./34.</t>
  </si>
  <si>
    <t>vzdrževanje aplikacije evidence časa</t>
  </si>
  <si>
    <t>Inšpektor
(XXXXX)
9 mes</t>
  </si>
  <si>
    <t>pri zaposlenih se upošteva število let delovne dobe na dan 27.9.2018 + 1 leto vsakemu (Kos - 27 let, Rezar - 24 let, Kramar - 26 let, Vahter - 22 let, Krajcar - 15 let, Teržan - 10 let, xxx - 35 let)</t>
  </si>
  <si>
    <t>delovno mesto inšpektor se upošteva od 1.4.2019 dalje (torej izplačilo 8 plač)</t>
  </si>
  <si>
    <t>48./49.</t>
  </si>
  <si>
    <t>40./41./42.</t>
  </si>
  <si>
    <t>Nataša Kos - nismo upoštevali napredovanje od 1.12.2018 - iz 47. na 48. plačni razred</t>
  </si>
  <si>
    <t>Rezar Božo - nismo upoštevali, da napreduje za 2 plačna razreda</t>
  </si>
  <si>
    <t>PLAN PLAČ IN REGRESA V LETU 2019 - REBALANS - MIR</t>
  </si>
  <si>
    <t>Inšpektor - planirana zaposlitev od 1.4.2019, zato prejme 8 plač, regres upoštevan za 9 mesecev, povečanje 1 plačni razred od 1.11.2019 dalje</t>
  </si>
  <si>
    <t>Komentar Tanja - spremembe od plana za leto 2019</t>
  </si>
  <si>
    <t>Vahter Damjan - upoštevali 1 razred višji za napredovanje 1.12.2018 (29. razred), potem se je izkazalo, da ga ne prejme</t>
  </si>
  <si>
    <t>2. bruto, 1. bruto je 1.291,00, razlika razporejena v prispevkih</t>
  </si>
  <si>
    <t>2. bruto, 1. bruto je 1.722,65, razlika razporejena v prispevkih</t>
  </si>
  <si>
    <t>Prej 1200 €/6=200 € *7 oseb= 1400 €</t>
  </si>
  <si>
    <t>izobraževanje (r 400 + i 1400)</t>
  </si>
  <si>
    <t>pohištvo (inšpektor)</t>
  </si>
  <si>
    <t>REBALANS FINANČNEGA NAČRTA SKUPNE OBČINSKE UPRAVE ZA LETO 2019</t>
  </si>
  <si>
    <t>PRIHODKI REBALANS proračuna  2019</t>
  </si>
  <si>
    <t>ODHODKI REBALANS proračuna   2019</t>
  </si>
  <si>
    <t>Rebalans 2019</t>
  </si>
  <si>
    <t>Vojnik, januar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</si>
</sst>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[$-424]d\.\ mmmm\ yyyy"/>
    <numFmt numFmtId="180" formatCode="d/\ m/\ yyyy;@"/>
    <numFmt numFmtId="181" formatCode="d/m/yyyy;@"/>
    <numFmt numFmtId="182" formatCode="0.000"/>
    <numFmt numFmtId="183" formatCode="0.00000"/>
    <numFmt numFmtId="184" formatCode="0.0000"/>
    <numFmt numFmtId="185" formatCode="0.0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\ &quot;€&quot;"/>
    <numFmt numFmtId="190" formatCode="[$€-2]\ #,##0.00_);[Red]\([$€-2]\ #,##0.00\)"/>
    <numFmt numFmtId="191" formatCode="#,##0.0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n"/>
      <bottom style="thick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20" borderId="8" applyNumberFormat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8" applyNumberFormat="0" applyAlignment="0" applyProtection="0"/>
    <xf numFmtId="0" fontId="65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67" fillId="0" borderId="0" xfId="0" applyFont="1" applyAlignment="1">
      <alignment/>
    </xf>
    <xf numFmtId="2" fontId="9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3" fontId="68" fillId="0" borderId="0" xfId="0" applyNumberFormat="1" applyFont="1" applyFill="1" applyBorder="1" applyAlignment="1">
      <alignment wrapText="1"/>
    </xf>
    <xf numFmtId="4" fontId="68" fillId="0" borderId="10" xfId="0" applyNumberFormat="1" applyFont="1" applyBorder="1" applyAlignment="1">
      <alignment wrapText="1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68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left" wrapText="1"/>
    </xf>
    <xf numFmtId="0" fontId="7" fillId="33" borderId="0" xfId="0" applyFont="1" applyFill="1" applyAlignment="1">
      <alignment/>
    </xf>
    <xf numFmtId="0" fontId="70" fillId="0" borderId="0" xfId="0" applyFont="1" applyAlignment="1">
      <alignment/>
    </xf>
    <xf numFmtId="4" fontId="0" fillId="0" borderId="17" xfId="0" applyNumberFormat="1" applyBorder="1" applyAlignment="1">
      <alignment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32" borderId="0" xfId="0" applyNumberFormat="1" applyFill="1" applyAlignment="1">
      <alignment horizontal="right"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wrapText="1"/>
    </xf>
    <xf numFmtId="0" fontId="72" fillId="0" borderId="0" xfId="0" applyFont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4" fontId="0" fillId="0" borderId="22" xfId="0" applyNumberFormat="1" applyFont="1" applyBorder="1" applyAlignment="1">
      <alignment wrapText="1"/>
    </xf>
    <xf numFmtId="4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 wrapText="1"/>
    </xf>
    <xf numFmtId="4" fontId="1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65" fillId="0" borderId="25" xfId="0" applyNumberFormat="1" applyFont="1" applyBorder="1" applyAlignment="1">
      <alignment/>
    </xf>
    <xf numFmtId="4" fontId="65" fillId="0" borderId="26" xfId="0" applyNumberFormat="1" applyFont="1" applyBorder="1" applyAlignment="1">
      <alignment/>
    </xf>
    <xf numFmtId="0" fontId="65" fillId="0" borderId="27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0" fontId="0" fillId="32" borderId="0" xfId="0" applyNumberFormat="1" applyFill="1" applyAlignment="1">
      <alignment horizontal="right"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4" fontId="58" fillId="0" borderId="17" xfId="0" applyNumberFormat="1" applyFont="1" applyBorder="1" applyAlignment="1">
      <alignment/>
    </xf>
    <xf numFmtId="0" fontId="58" fillId="0" borderId="21" xfId="0" applyFont="1" applyBorder="1" applyAlignment="1">
      <alignment/>
    </xf>
    <xf numFmtId="4" fontId="58" fillId="0" borderId="20" xfId="0" applyNumberFormat="1" applyFont="1" applyBorder="1" applyAlignment="1">
      <alignment/>
    </xf>
    <xf numFmtId="0" fontId="58" fillId="0" borderId="18" xfId="0" applyFont="1" applyBorder="1" applyAlignment="1">
      <alignment/>
    </xf>
    <xf numFmtId="4" fontId="58" fillId="0" borderId="28" xfId="0" applyNumberFormat="1" applyFont="1" applyBorder="1" applyAlignment="1">
      <alignment/>
    </xf>
    <xf numFmtId="4" fontId="58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29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21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1" xfId="0" applyNumberFormat="1" applyBorder="1" applyAlignment="1">
      <alignment/>
    </xf>
    <xf numFmtId="0" fontId="65" fillId="0" borderId="32" xfId="0" applyFont="1" applyBorder="1" applyAlignment="1">
      <alignment horizontal="center"/>
    </xf>
    <xf numFmtId="0" fontId="65" fillId="0" borderId="32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9" xfId="0" applyFont="1" applyBorder="1" applyAlignment="1">
      <alignment horizontal="center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3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9" fillId="0" borderId="34" xfId="0" applyFont="1" applyBorder="1" applyAlignment="1">
      <alignment wrapText="1"/>
    </xf>
    <xf numFmtId="3" fontId="1" fillId="32" borderId="11" xfId="0" applyNumberFormat="1" applyFont="1" applyFill="1" applyBorder="1" applyAlignment="1">
      <alignment wrapText="1"/>
    </xf>
    <xf numFmtId="3" fontId="15" fillId="32" borderId="11" xfId="0" applyNumberFormat="1" applyFont="1" applyFill="1" applyBorder="1" applyAlignment="1">
      <alignment wrapText="1"/>
    </xf>
    <xf numFmtId="3" fontId="19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wrapText="1"/>
    </xf>
    <xf numFmtId="4" fontId="69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3" fontId="11" fillId="0" borderId="36" xfId="0" applyNumberFormat="1" applyFont="1" applyFill="1" applyBorder="1" applyAlignment="1">
      <alignment wrapText="1"/>
    </xf>
    <xf numFmtId="3" fontId="11" fillId="32" borderId="11" xfId="0" applyNumberFormat="1" applyFont="1" applyFill="1" applyBorder="1" applyAlignment="1">
      <alignment wrapText="1"/>
    </xf>
    <xf numFmtId="3" fontId="20" fillId="32" borderId="11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/>
    </xf>
    <xf numFmtId="3" fontId="1" fillId="0" borderId="36" xfId="0" applyNumberFormat="1" applyFont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15" fillId="0" borderId="40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3" fontId="1" fillId="0" borderId="43" xfId="0" applyNumberFormat="1" applyFont="1" applyFill="1" applyBorder="1" applyAlignment="1">
      <alignment wrapText="1"/>
    </xf>
    <xf numFmtId="3" fontId="1" fillId="32" borderId="44" xfId="0" applyNumberFormat="1" applyFont="1" applyFill="1" applyBorder="1" applyAlignment="1">
      <alignment wrapText="1"/>
    </xf>
    <xf numFmtId="3" fontId="18" fillId="0" borderId="45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3" fontId="0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9" fillId="0" borderId="34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3" fontId="1" fillId="0" borderId="48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1" fillId="0" borderId="37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9" fillId="0" borderId="49" xfId="0" applyFont="1" applyBorder="1" applyAlignment="1">
      <alignment horizontal="center" wrapText="1"/>
    </xf>
    <xf numFmtId="3" fontId="1" fillId="0" borderId="50" xfId="0" applyNumberFormat="1" applyFont="1" applyFill="1" applyBorder="1" applyAlignment="1">
      <alignment wrapText="1"/>
    </xf>
    <xf numFmtId="3" fontId="11" fillId="0" borderId="48" xfId="0" applyNumberFormat="1" applyFont="1" applyFill="1" applyBorder="1" applyAlignment="1">
      <alignment wrapText="1"/>
    </xf>
    <xf numFmtId="3" fontId="1" fillId="0" borderId="48" xfId="0" applyNumberFormat="1" applyFont="1" applyFill="1" applyBorder="1" applyAlignment="1">
      <alignment wrapText="1"/>
    </xf>
    <xf numFmtId="3" fontId="1" fillId="0" borderId="4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8" fillId="0" borderId="29" xfId="0" applyFont="1" applyBorder="1" applyAlignment="1">
      <alignment/>
    </xf>
    <xf numFmtId="4" fontId="73" fillId="34" borderId="5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3" fontId="74" fillId="0" borderId="14" xfId="0" applyNumberFormat="1" applyFont="1" applyBorder="1" applyAlignment="1">
      <alignment wrapText="1"/>
    </xf>
    <xf numFmtId="4" fontId="69" fillId="0" borderId="14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wrapText="1"/>
    </xf>
    <xf numFmtId="4" fontId="9" fillId="0" borderId="25" xfId="0" applyNumberFormat="1" applyFont="1" applyBorder="1" applyAlignment="1">
      <alignment wrapText="1"/>
    </xf>
    <xf numFmtId="0" fontId="9" fillId="0" borderId="48" xfId="0" applyFont="1" applyBorder="1" applyAlignment="1">
      <alignment horizontal="center" wrapText="1"/>
    </xf>
    <xf numFmtId="3" fontId="18" fillId="0" borderId="48" xfId="0" applyNumberFormat="1" applyFont="1" applyFill="1" applyBorder="1" applyAlignment="1">
      <alignment/>
    </xf>
    <xf numFmtId="0" fontId="9" fillId="0" borderId="48" xfId="0" applyFont="1" applyBorder="1" applyAlignment="1">
      <alignment wrapText="1"/>
    </xf>
    <xf numFmtId="0" fontId="0" fillId="0" borderId="48" xfId="0" applyBorder="1" applyAlignment="1">
      <alignment/>
    </xf>
    <xf numFmtId="0" fontId="0" fillId="32" borderId="0" xfId="0" applyNumberFormat="1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4" fontId="0" fillId="0" borderId="17" xfId="0" applyNumberFormat="1" applyFont="1" applyBorder="1" applyAlignment="1">
      <alignment wrapText="1"/>
    </xf>
    <xf numFmtId="0" fontId="73" fillId="34" borderId="5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65" fillId="0" borderId="52" xfId="0" applyFont="1" applyBorder="1" applyAlignment="1">
      <alignment horizontal="center"/>
    </xf>
    <xf numFmtId="0" fontId="70" fillId="32" borderId="0" xfId="0" applyFont="1" applyFill="1" applyAlignment="1">
      <alignment/>
    </xf>
    <xf numFmtId="0" fontId="65" fillId="32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4" fontId="58" fillId="0" borderId="0" xfId="0" applyNumberFormat="1" applyFont="1" applyFill="1" applyBorder="1" applyAlignment="1">
      <alignment/>
    </xf>
    <xf numFmtId="0" fontId="13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6" fillId="0" borderId="53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8" fillId="0" borderId="12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5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9" fillId="0" borderId="54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0" fillId="0" borderId="12" xfId="0" applyFont="1" applyBorder="1" applyAlignment="1">
      <alignment horizontal="left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0" fontId="2" fillId="32" borderId="0" xfId="0" applyNumberFormat="1" applyFont="1" applyFill="1" applyAlignment="1">
      <alignment horizontal="left" vertical="center"/>
    </xf>
    <xf numFmtId="0" fontId="73" fillId="34" borderId="55" xfId="0" applyFont="1" applyFill="1" applyBorder="1" applyAlignment="1">
      <alignment horizontal="center"/>
    </xf>
    <xf numFmtId="0" fontId="73" fillId="34" borderId="56" xfId="0" applyFont="1" applyFill="1" applyBorder="1" applyAlignment="1">
      <alignment horizontal="center"/>
    </xf>
    <xf numFmtId="0" fontId="73" fillId="34" borderId="5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65" fillId="0" borderId="2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27" xfId="0" applyNumberFormat="1" applyFont="1" applyBorder="1" applyAlignment="1">
      <alignment horizontal="center"/>
    </xf>
    <xf numFmtId="0" fontId="65" fillId="0" borderId="26" xfId="0" applyNumberFormat="1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65" fillId="0" borderId="27" xfId="0" applyFont="1" applyBorder="1" applyAlignment="1">
      <alignment horizontal="center"/>
    </xf>
    <xf numFmtId="0" fontId="65" fillId="0" borderId="26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PageLayoutView="0" workbookViewId="0" topLeftCell="A21">
      <selection activeCell="G43" sqref="G43"/>
    </sheetView>
  </sheetViews>
  <sheetFormatPr defaultColWidth="9.140625" defaultRowHeight="12.75"/>
  <cols>
    <col min="1" max="1" width="6.8515625" style="0" customWidth="1"/>
    <col min="2" max="2" width="28.57421875" style="0" customWidth="1"/>
    <col min="3" max="3" width="10.00390625" style="0" customWidth="1"/>
    <col min="4" max="4" width="10.28125" style="0" customWidth="1"/>
    <col min="9" max="9" width="10.7109375" style="0" customWidth="1"/>
    <col min="10" max="10" width="10.00390625" style="0" customWidth="1"/>
    <col min="11" max="11" width="9.57421875" style="0" customWidth="1"/>
    <col min="12" max="12" width="9.00390625" style="0" customWidth="1"/>
    <col min="14" max="14" width="14.140625" style="0" customWidth="1"/>
  </cols>
  <sheetData>
    <row r="2" spans="1:13" ht="33.75" customHeight="1">
      <c r="A2" s="235" t="s">
        <v>134</v>
      </c>
      <c r="B2" s="235"/>
      <c r="C2" s="235"/>
      <c r="D2" s="235"/>
      <c r="E2" s="235"/>
      <c r="F2" s="235"/>
      <c r="G2" s="235"/>
      <c r="H2" s="235"/>
      <c r="I2" s="235"/>
      <c r="J2" s="235"/>
      <c r="K2" s="133"/>
      <c r="L2" s="133"/>
      <c r="M2" s="33"/>
    </row>
    <row r="3" spans="1:13" ht="1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33"/>
      <c r="L3" s="133"/>
      <c r="M3" s="33"/>
    </row>
    <row r="4" spans="1:13" ht="12.75">
      <c r="A4" s="33" t="s">
        <v>135</v>
      </c>
      <c r="B4" s="33"/>
      <c r="C4" s="33"/>
      <c r="D4" s="33"/>
      <c r="E4" s="33"/>
      <c r="F4" s="33"/>
      <c r="G4" s="33"/>
      <c r="H4" s="33"/>
      <c r="I4" s="1" t="s">
        <v>136</v>
      </c>
      <c r="J4" s="1">
        <v>89257</v>
      </c>
      <c r="M4" s="33"/>
    </row>
    <row r="5" spans="1:12" ht="12.75">
      <c r="A5" t="s">
        <v>71</v>
      </c>
      <c r="E5" s="134"/>
      <c r="F5" s="134"/>
      <c r="G5" s="134"/>
      <c r="H5" s="134"/>
      <c r="I5" s="134"/>
      <c r="J5" s="134"/>
      <c r="K5" s="134"/>
      <c r="L5" s="134"/>
    </row>
    <row r="6" spans="1:12" ht="12.75">
      <c r="A6" t="s">
        <v>137</v>
      </c>
      <c r="E6" s="134"/>
      <c r="F6" s="134"/>
      <c r="G6" s="134"/>
      <c r="H6" s="134"/>
      <c r="I6" s="134"/>
      <c r="J6" s="134"/>
      <c r="K6" s="134"/>
      <c r="L6" s="134"/>
    </row>
    <row r="7" spans="1:12" ht="12.75">
      <c r="A7" t="s">
        <v>1</v>
      </c>
      <c r="E7" s="134"/>
      <c r="F7" s="134"/>
      <c r="G7" s="134"/>
      <c r="H7" s="134"/>
      <c r="I7" s="134"/>
      <c r="J7" s="134"/>
      <c r="K7" s="134"/>
      <c r="L7" s="134"/>
    </row>
    <row r="8" spans="5:12" ht="12.75">
      <c r="E8" s="134"/>
      <c r="F8" s="134"/>
      <c r="G8" s="134"/>
      <c r="H8" s="134"/>
      <c r="I8" s="134"/>
      <c r="J8" s="134"/>
      <c r="K8" s="134"/>
      <c r="L8" s="134"/>
    </row>
    <row r="9" spans="5:12" ht="12.75">
      <c r="E9" s="134"/>
      <c r="F9" s="134"/>
      <c r="G9" s="134"/>
      <c r="H9" s="134"/>
      <c r="I9" s="134"/>
      <c r="J9" s="134"/>
      <c r="K9" s="134"/>
      <c r="L9" s="134"/>
    </row>
    <row r="10" spans="1:13" s="169" customFormat="1" ht="18">
      <c r="A10" s="135" t="s">
        <v>201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29.25" customHeight="1" thickBot="1">
      <c r="A11" s="1"/>
      <c r="B11" s="1"/>
      <c r="C11" s="1"/>
      <c r="D11" s="1"/>
      <c r="E11" s="136"/>
      <c r="F11" s="136"/>
      <c r="G11" s="136"/>
      <c r="H11" s="136"/>
      <c r="I11" s="136"/>
      <c r="J11" s="136"/>
      <c r="K11" s="136"/>
      <c r="L11" s="136"/>
      <c r="M11" s="1"/>
    </row>
    <row r="12" spans="1:13" ht="75.75" customHeight="1" thickTop="1">
      <c r="A12" s="231" t="s">
        <v>138</v>
      </c>
      <c r="B12" s="232"/>
      <c r="C12" s="215" t="s">
        <v>154</v>
      </c>
      <c r="D12" s="185" t="s">
        <v>202</v>
      </c>
      <c r="E12" s="136"/>
      <c r="F12" s="136"/>
      <c r="G12" s="136"/>
      <c r="H12" s="136"/>
      <c r="I12" s="136"/>
      <c r="J12" s="136"/>
      <c r="K12" s="136"/>
      <c r="L12" s="136"/>
      <c r="M12" s="1"/>
    </row>
    <row r="13" spans="1:13" ht="12.75">
      <c r="A13" s="14" t="s">
        <v>153</v>
      </c>
      <c r="B13" s="187"/>
      <c r="C13" s="191">
        <f>C14</f>
        <v>223406</v>
      </c>
      <c r="D13" s="170">
        <f>D14</f>
        <v>271281.01</v>
      </c>
      <c r="E13" s="136"/>
      <c r="F13" s="136"/>
      <c r="G13" s="136"/>
      <c r="H13" s="136"/>
      <c r="I13" s="136"/>
      <c r="J13" s="136"/>
      <c r="K13" s="136"/>
      <c r="L13" s="136"/>
      <c r="M13" s="1"/>
    </row>
    <row r="14" spans="1:13" ht="36.75" customHeight="1">
      <c r="A14" s="14">
        <v>740</v>
      </c>
      <c r="B14" s="188" t="s">
        <v>139</v>
      </c>
      <c r="C14" s="191">
        <f>C15+C16</f>
        <v>223406</v>
      </c>
      <c r="D14" s="170">
        <f>D15+D16</f>
        <v>271281.01</v>
      </c>
      <c r="E14" s="136"/>
      <c r="F14" s="136"/>
      <c r="G14" s="136"/>
      <c r="H14" s="136"/>
      <c r="I14" s="136"/>
      <c r="J14" s="136"/>
      <c r="K14" s="136"/>
      <c r="L14" s="136"/>
      <c r="M14" s="1"/>
    </row>
    <row r="15" spans="1:13" ht="36.75" customHeight="1">
      <c r="A15" s="23">
        <v>740004</v>
      </c>
      <c r="B15" s="189" t="s">
        <v>140</v>
      </c>
      <c r="C15" s="192">
        <v>13700</v>
      </c>
      <c r="D15" s="181">
        <f>'KONTI PLAČ'!M29</f>
        <v>17884.800000000003</v>
      </c>
      <c r="E15" s="136"/>
      <c r="F15" s="136"/>
      <c r="G15" s="136"/>
      <c r="H15" s="136"/>
      <c r="I15" s="136"/>
      <c r="J15" s="136"/>
      <c r="K15" s="136"/>
      <c r="L15" s="136"/>
      <c r="M15" s="1"/>
    </row>
    <row r="16" spans="1:13" ht="36.75" customHeight="1">
      <c r="A16" s="23">
        <v>740100</v>
      </c>
      <c r="B16" s="189" t="s">
        <v>141</v>
      </c>
      <c r="C16" s="192">
        <f>SUM(C17:C23)</f>
        <v>209706</v>
      </c>
      <c r="D16" s="181">
        <f>SUM(D17:D23)</f>
        <v>253396.21000000002</v>
      </c>
      <c r="E16" s="137"/>
      <c r="F16" s="136"/>
      <c r="G16" s="136"/>
      <c r="H16" s="136"/>
      <c r="I16" s="136"/>
      <c r="J16" s="136"/>
      <c r="K16" s="136"/>
      <c r="L16" s="136"/>
      <c r="M16" s="1"/>
    </row>
    <row r="17" spans="1:13" ht="14.25" customHeight="1">
      <c r="A17" s="23"/>
      <c r="B17" s="190" t="s">
        <v>5</v>
      </c>
      <c r="C17" s="193">
        <v>10285</v>
      </c>
      <c r="D17" s="182">
        <f>H31</f>
        <v>12479.749000000002</v>
      </c>
      <c r="E17" s="138"/>
      <c r="F17" s="139"/>
      <c r="G17" s="136"/>
      <c r="H17" s="136"/>
      <c r="I17" s="136"/>
      <c r="J17" s="136"/>
      <c r="K17" s="136"/>
      <c r="L17" s="136"/>
      <c r="M17" s="1"/>
    </row>
    <row r="18" spans="1:13" ht="14.25" customHeight="1">
      <c r="A18" s="23"/>
      <c r="B18" s="190" t="s">
        <v>12</v>
      </c>
      <c r="C18" s="193">
        <v>5322</v>
      </c>
      <c r="D18" s="182">
        <f>L31</f>
        <v>6456.872000000001</v>
      </c>
      <c r="E18" s="138"/>
      <c r="F18" s="139"/>
      <c r="G18" s="136"/>
      <c r="H18" s="136"/>
      <c r="I18" s="136"/>
      <c r="J18" s="136"/>
      <c r="K18" s="136"/>
      <c r="L18" s="136"/>
      <c r="M18" s="1"/>
    </row>
    <row r="19" spans="1:13" ht="14.25" customHeight="1">
      <c r="A19" s="23"/>
      <c r="B19" s="190" t="s">
        <v>8</v>
      </c>
      <c r="C19" s="193">
        <v>15679</v>
      </c>
      <c r="D19" s="182">
        <f>K31</f>
        <v>18892.451999999997</v>
      </c>
      <c r="E19" s="138"/>
      <c r="F19" s="139"/>
      <c r="G19" s="136"/>
      <c r="H19" s="136"/>
      <c r="I19" s="136"/>
      <c r="J19" s="136"/>
      <c r="K19" s="136"/>
      <c r="L19" s="136"/>
      <c r="M19" s="1"/>
    </row>
    <row r="20" spans="1:13" ht="14.25" customHeight="1">
      <c r="A20" s="23"/>
      <c r="B20" s="190" t="s">
        <v>7</v>
      </c>
      <c r="C20" s="193">
        <v>50283</v>
      </c>
      <c r="D20" s="182">
        <f>J31</f>
        <v>61018.554000000004</v>
      </c>
      <c r="E20" s="138"/>
      <c r="F20" s="139"/>
      <c r="G20" s="136"/>
      <c r="H20" s="136"/>
      <c r="I20" s="136"/>
      <c r="J20" s="136"/>
      <c r="K20" s="136"/>
      <c r="L20" s="136"/>
      <c r="M20" s="1"/>
    </row>
    <row r="21" spans="1:13" ht="14.25" customHeight="1">
      <c r="A21" s="23"/>
      <c r="B21" s="190" t="s">
        <v>6</v>
      </c>
      <c r="C21" s="193">
        <v>85991</v>
      </c>
      <c r="D21" s="182">
        <f>I31</f>
        <v>103543.63900000002</v>
      </c>
      <c r="E21" s="138"/>
      <c r="F21" s="139"/>
      <c r="G21" s="136"/>
      <c r="H21" s="136"/>
      <c r="I21" s="136"/>
      <c r="J21" s="136"/>
      <c r="K21" s="136"/>
      <c r="L21" s="136"/>
      <c r="M21" s="1"/>
    </row>
    <row r="22" spans="1:13" ht="14.25" customHeight="1">
      <c r="A22" s="23"/>
      <c r="B22" s="190" t="s">
        <v>4</v>
      </c>
      <c r="C22" s="193">
        <v>14537</v>
      </c>
      <c r="D22" s="182">
        <f>G31</f>
        <v>17770.214</v>
      </c>
      <c r="E22" s="138"/>
      <c r="F22" s="139"/>
      <c r="G22" s="136"/>
      <c r="H22" s="136"/>
      <c r="I22" s="136"/>
      <c r="J22" s="136"/>
      <c r="K22" s="136"/>
      <c r="L22" s="136"/>
      <c r="M22" s="1"/>
    </row>
    <row r="23" spans="1:13" ht="14.25" customHeight="1" thickBot="1">
      <c r="A23" s="23"/>
      <c r="B23" s="190" t="s">
        <v>3</v>
      </c>
      <c r="C23" s="193">
        <v>27609</v>
      </c>
      <c r="D23" s="183">
        <f>F31</f>
        <v>33234.729999999996</v>
      </c>
      <c r="E23" s="138"/>
      <c r="F23" s="139"/>
      <c r="G23" s="136"/>
      <c r="H23" s="136"/>
      <c r="I23" s="136"/>
      <c r="J23" s="136"/>
      <c r="K23" s="136"/>
      <c r="L23" s="136"/>
      <c r="M23" s="1"/>
    </row>
    <row r="24" spans="1:13" ht="13.5" thickTop="1">
      <c r="A24" s="1"/>
      <c r="B24" s="140"/>
      <c r="C24" s="1"/>
      <c r="D24" s="141"/>
      <c r="E24" s="136"/>
      <c r="F24" s="139"/>
      <c r="G24" s="136"/>
      <c r="H24" s="136"/>
      <c r="I24" s="136"/>
      <c r="J24" s="136"/>
      <c r="K24" s="136"/>
      <c r="L24" s="136"/>
      <c r="M24" s="1"/>
    </row>
    <row r="25" spans="1:13" ht="12.75">
      <c r="A25" s="1"/>
      <c r="B25" s="140"/>
      <c r="C25" s="1"/>
      <c r="D25" s="141"/>
      <c r="E25" s="136"/>
      <c r="F25" s="139"/>
      <c r="G25" s="136"/>
      <c r="H25" s="136"/>
      <c r="I25" s="136"/>
      <c r="J25" s="136"/>
      <c r="K25" s="136"/>
      <c r="L25" s="136"/>
      <c r="M25" s="1"/>
    </row>
    <row r="26" spans="1:13" ht="12.75">
      <c r="A26" s="1"/>
      <c r="B26" s="140"/>
      <c r="C26" s="1"/>
      <c r="D26" s="141"/>
      <c r="E26" s="136"/>
      <c r="F26" s="139"/>
      <c r="G26" s="136"/>
      <c r="H26" s="136"/>
      <c r="I26" s="136"/>
      <c r="J26" s="136"/>
      <c r="K26" s="136"/>
      <c r="L26" s="136"/>
      <c r="M26" s="1"/>
    </row>
    <row r="27" spans="1:13" ht="12.75">
      <c r="A27" s="1"/>
      <c r="B27" s="140"/>
      <c r="C27" s="1"/>
      <c r="D27" s="141"/>
      <c r="E27" s="136"/>
      <c r="F27" s="139"/>
      <c r="G27" s="136"/>
      <c r="H27" s="136"/>
      <c r="I27" s="136"/>
      <c r="J27" s="136"/>
      <c r="K27" s="136"/>
      <c r="L27" s="136"/>
      <c r="M27" s="1"/>
    </row>
    <row r="28" spans="1:13" ht="12.75">
      <c r="A28" s="1"/>
      <c r="B28" s="140"/>
      <c r="C28" s="1"/>
      <c r="D28" s="141"/>
      <c r="E28" s="136"/>
      <c r="F28" s="139"/>
      <c r="G28" s="136"/>
      <c r="H28" s="136"/>
      <c r="I28" s="136"/>
      <c r="J28" s="136"/>
      <c r="K28" s="136"/>
      <c r="L28" s="136"/>
      <c r="M28" s="1"/>
    </row>
    <row r="29" spans="1:13" ht="13.5" thickBot="1">
      <c r="A29" s="1"/>
      <c r="B29" s="140"/>
      <c r="C29" s="1"/>
      <c r="D29" s="141"/>
      <c r="E29" s="136"/>
      <c r="F29" s="139"/>
      <c r="G29" s="136"/>
      <c r="H29" s="136"/>
      <c r="I29" s="136"/>
      <c r="J29" s="136"/>
      <c r="K29" s="136"/>
      <c r="L29" s="136"/>
      <c r="M29" s="1"/>
    </row>
    <row r="30" spans="1:13" ht="81" customHeight="1" thickBot="1" thickTop="1">
      <c r="A30" s="233" t="s">
        <v>142</v>
      </c>
      <c r="B30" s="234"/>
      <c r="C30" s="198" t="s">
        <v>155</v>
      </c>
      <c r="D30" s="186" t="s">
        <v>203</v>
      </c>
      <c r="E30" s="172" t="s">
        <v>2</v>
      </c>
      <c r="F30" s="173" t="s">
        <v>3</v>
      </c>
      <c r="G30" s="173" t="s">
        <v>4</v>
      </c>
      <c r="H30" s="173" t="s">
        <v>5</v>
      </c>
      <c r="I30" s="173" t="s">
        <v>6</v>
      </c>
      <c r="J30" s="173" t="s">
        <v>7</v>
      </c>
      <c r="K30" s="173" t="s">
        <v>8</v>
      </c>
      <c r="L30" s="174" t="s">
        <v>12</v>
      </c>
      <c r="M30" s="140"/>
    </row>
    <row r="31" spans="1:14" ht="13.5" thickBot="1">
      <c r="A31" s="14" t="s">
        <v>121</v>
      </c>
      <c r="B31" s="187"/>
      <c r="C31" s="216">
        <f>C32+C35+C36+C39</f>
        <v>242822</v>
      </c>
      <c r="D31" s="178">
        <f>SUM(E31:L31)</f>
        <v>293557.25</v>
      </c>
      <c r="E31" s="150">
        <f>E39+E36+E35+E32</f>
        <v>40161.04</v>
      </c>
      <c r="F31" s="144">
        <f aca="true" t="shared" si="0" ref="F31:L31">F39+F36+F35+F32</f>
        <v>33234.729999999996</v>
      </c>
      <c r="G31" s="144">
        <f t="shared" si="0"/>
        <v>17770.214</v>
      </c>
      <c r="H31" s="144">
        <f t="shared" si="0"/>
        <v>12479.749000000002</v>
      </c>
      <c r="I31" s="144">
        <f t="shared" si="0"/>
        <v>103543.63900000002</v>
      </c>
      <c r="J31" s="144">
        <f t="shared" si="0"/>
        <v>61018.554000000004</v>
      </c>
      <c r="K31" s="144">
        <f t="shared" si="0"/>
        <v>18892.451999999997</v>
      </c>
      <c r="L31" s="145">
        <f t="shared" si="0"/>
        <v>6456.872000000001</v>
      </c>
      <c r="M31" s="146"/>
      <c r="N31" s="203"/>
    </row>
    <row r="32" spans="1:14" ht="24.75" customHeight="1">
      <c r="A32" s="175">
        <v>400</v>
      </c>
      <c r="B32" s="194" t="s">
        <v>143</v>
      </c>
      <c r="C32" s="199">
        <f>C33+C34</f>
        <v>150206</v>
      </c>
      <c r="D32" s="176">
        <f>D33+D34</f>
        <v>187617.71000000002</v>
      </c>
      <c r="E32" s="177">
        <f>E33+E34</f>
        <v>25891.243980000003</v>
      </c>
      <c r="F32" s="177">
        <f aca="true" t="shared" si="1" ref="F32:L32">F33+F34</f>
        <v>20825.565809999996</v>
      </c>
      <c r="G32" s="177">
        <f t="shared" si="1"/>
        <v>11970.009898000002</v>
      </c>
      <c r="H32" s="177">
        <f t="shared" si="1"/>
        <v>8123.846843000001</v>
      </c>
      <c r="I32" s="177">
        <f t="shared" si="1"/>
        <v>64972.01297300002</v>
      </c>
      <c r="J32" s="177">
        <f t="shared" si="1"/>
        <v>39737.430978000004</v>
      </c>
      <c r="K32" s="177">
        <f t="shared" si="1"/>
        <v>11894.962814</v>
      </c>
      <c r="L32" s="177">
        <f t="shared" si="1"/>
        <v>4202.6367040000005</v>
      </c>
      <c r="M32" s="143"/>
      <c r="N32" s="203"/>
    </row>
    <row r="33" spans="1:14" ht="15" customHeight="1">
      <c r="A33" s="142"/>
      <c r="B33" s="195" t="s">
        <v>151</v>
      </c>
      <c r="C33" s="200">
        <v>3600</v>
      </c>
      <c r="D33" s="154">
        <v>3600</v>
      </c>
      <c r="E33" s="155">
        <f>stroški!B68</f>
        <v>496.8</v>
      </c>
      <c r="F33" s="155">
        <f>stroški!C68</f>
        <v>399.6</v>
      </c>
      <c r="G33" s="155">
        <f>stroški!D68</f>
        <v>229.68</v>
      </c>
      <c r="H33" s="155">
        <f>stroški!E68</f>
        <v>155.88</v>
      </c>
      <c r="I33" s="155">
        <f>stroški!F68</f>
        <v>1246.68</v>
      </c>
      <c r="J33" s="155">
        <f>stroški!G68</f>
        <v>762.48</v>
      </c>
      <c r="K33" s="155">
        <f>stroški!H68</f>
        <v>228.24</v>
      </c>
      <c r="L33" s="155">
        <f>stroški!I68</f>
        <v>80.64000000000001</v>
      </c>
      <c r="M33" s="143"/>
      <c r="N33" s="203"/>
    </row>
    <row r="34" spans="1:15" ht="15" customHeight="1">
      <c r="A34" s="142"/>
      <c r="B34" s="184" t="s">
        <v>152</v>
      </c>
      <c r="C34" s="200">
        <v>146606</v>
      </c>
      <c r="D34" s="154">
        <f>SUM(E34:L34)</f>
        <v>184017.71000000002</v>
      </c>
      <c r="E34" s="155">
        <f>'KONTI PLAČ'!D29</f>
        <v>25394.443980000004</v>
      </c>
      <c r="F34" s="155">
        <f>'KONTI PLAČ'!E29</f>
        <v>20425.965809999998</v>
      </c>
      <c r="G34" s="155">
        <f>'KONTI PLAČ'!F29</f>
        <v>11740.329898000002</v>
      </c>
      <c r="H34" s="155">
        <f>'KONTI PLAČ'!G29</f>
        <v>7967.966843000001</v>
      </c>
      <c r="I34" s="155">
        <f>'KONTI PLAČ'!H29</f>
        <v>63725.33297300002</v>
      </c>
      <c r="J34" s="155">
        <f>'KONTI PLAČ'!I29</f>
        <v>38974.950978</v>
      </c>
      <c r="K34" s="155">
        <f>'KONTI PLAČ'!J29</f>
        <v>11666.722814</v>
      </c>
      <c r="L34" s="155">
        <f>'KONTI PLAČ'!K29</f>
        <v>4121.996704</v>
      </c>
      <c r="M34" s="143"/>
      <c r="N34" s="203"/>
      <c r="O34" s="203"/>
    </row>
    <row r="35" spans="1:14" ht="27" customHeight="1">
      <c r="A35" s="142">
        <v>401</v>
      </c>
      <c r="B35" s="196" t="s">
        <v>144</v>
      </c>
      <c r="C35" s="201">
        <v>22480</v>
      </c>
      <c r="D35" s="151">
        <f>SUM(E35:L35)</f>
        <v>29182.54</v>
      </c>
      <c r="E35" s="148">
        <f>'KONTI PLAČ'!D30</f>
        <v>4027.1905200000006</v>
      </c>
      <c r="F35" s="148">
        <f>'KONTI PLAČ'!E30</f>
        <v>3239.26194</v>
      </c>
      <c r="G35" s="148">
        <f>'KONTI PLAČ'!F30</f>
        <v>1861.8460519999999</v>
      </c>
      <c r="H35" s="148">
        <f>'KONTI PLAČ'!G30</f>
        <v>1263.603982</v>
      </c>
      <c r="I35" s="148">
        <f>'KONTI PLAČ'!H30</f>
        <v>10105.913602</v>
      </c>
      <c r="J35" s="148">
        <f>'KONTI PLAČ'!I30</f>
        <v>6180.861972000001</v>
      </c>
      <c r="K35" s="148">
        <f>'KONTI PLAČ'!J30</f>
        <v>1850.173036</v>
      </c>
      <c r="L35" s="148">
        <f>'KONTI PLAČ'!K30</f>
        <v>653.688896</v>
      </c>
      <c r="M35" s="143"/>
      <c r="N35" s="203"/>
    </row>
    <row r="36" spans="1:14" ht="27.75" customHeight="1">
      <c r="A36" s="142">
        <v>402</v>
      </c>
      <c r="B36" s="196" t="s">
        <v>145</v>
      </c>
      <c r="C36" s="201">
        <f>C38+C37</f>
        <v>68936</v>
      </c>
      <c r="D36" s="151">
        <f>D38+D37</f>
        <v>72457</v>
      </c>
      <c r="E36" s="149">
        <f>E37+E38</f>
        <v>9649.2055</v>
      </c>
      <c r="F36" s="149">
        <f aca="true" t="shared" si="2" ref="F36:L36">F37+F38</f>
        <v>8692.60225</v>
      </c>
      <c r="G36" s="149">
        <f t="shared" si="2"/>
        <v>3664.01805</v>
      </c>
      <c r="H36" s="149">
        <f t="shared" si="2"/>
        <v>2906.108175</v>
      </c>
      <c r="I36" s="149">
        <f t="shared" si="2"/>
        <v>26976.622425</v>
      </c>
      <c r="J36" s="149">
        <f t="shared" si="2"/>
        <v>14189.52105</v>
      </c>
      <c r="K36" s="149">
        <f t="shared" si="2"/>
        <v>4874.696149999999</v>
      </c>
      <c r="L36" s="149">
        <f t="shared" si="2"/>
        <v>1504.2264000000002</v>
      </c>
      <c r="M36" s="143"/>
      <c r="N36" s="203"/>
    </row>
    <row r="37" spans="1:14" s="158" customFormat="1" ht="15" customHeight="1">
      <c r="A37" s="153"/>
      <c r="B37" s="197" t="s">
        <v>30</v>
      </c>
      <c r="C37" s="200">
        <v>2414</v>
      </c>
      <c r="D37" s="154">
        <f>SUM(E37:L37)</f>
        <v>2799.75</v>
      </c>
      <c r="E37" s="156">
        <f>'KONTI PLAČ'!D31</f>
        <v>386.3655</v>
      </c>
      <c r="F37" s="156">
        <f>'KONTI PLAČ'!E31</f>
        <v>310.77225</v>
      </c>
      <c r="G37" s="156">
        <f>'KONTI PLAČ'!F31</f>
        <v>178.62404999999998</v>
      </c>
      <c r="H37" s="156">
        <f>'KONTI PLAČ'!G31</f>
        <v>121.229175</v>
      </c>
      <c r="I37" s="156">
        <f>'KONTI PLAČ'!H31</f>
        <v>969.5534250000001</v>
      </c>
      <c r="J37" s="156">
        <f>'KONTI PLAČ'!I31</f>
        <v>592.98705</v>
      </c>
      <c r="K37" s="156">
        <f>'KONTI PLAČ'!J31</f>
        <v>177.50415</v>
      </c>
      <c r="L37" s="156">
        <f>'KONTI PLAČ'!K31</f>
        <v>62.71440000000001</v>
      </c>
      <c r="M37" s="157"/>
      <c r="N37" s="203"/>
    </row>
    <row r="38" spans="1:14" s="158" customFormat="1" ht="15" customHeight="1">
      <c r="A38" s="153"/>
      <c r="B38" s="184" t="s">
        <v>31</v>
      </c>
      <c r="C38" s="200">
        <v>66522</v>
      </c>
      <c r="D38" s="154">
        <f>SUM(E38:L38)</f>
        <v>69657.25</v>
      </c>
      <c r="E38" s="156">
        <f>stroški!I47</f>
        <v>9262.84</v>
      </c>
      <c r="F38" s="156">
        <f>stroški!J47</f>
        <v>8381.83</v>
      </c>
      <c r="G38" s="156">
        <f>stroški!K47</f>
        <v>3485.3940000000002</v>
      </c>
      <c r="H38" s="156">
        <f>stroški!L47</f>
        <v>2784.879</v>
      </c>
      <c r="I38" s="156">
        <f>stroški!M47</f>
        <v>26007.069000000003</v>
      </c>
      <c r="J38" s="156">
        <f>stroški!N47</f>
        <v>13596.534</v>
      </c>
      <c r="K38" s="156">
        <f>stroški!O47</f>
        <v>4697.191999999999</v>
      </c>
      <c r="L38" s="156">
        <f>stroški!P47</f>
        <v>1441.5120000000002</v>
      </c>
      <c r="M38" s="157"/>
      <c r="N38" s="203"/>
    </row>
    <row r="39" spans="1:14" ht="18" customHeight="1" thickBot="1">
      <c r="A39" s="142">
        <v>420</v>
      </c>
      <c r="B39" s="196" t="s">
        <v>146</v>
      </c>
      <c r="C39" s="202">
        <v>1200</v>
      </c>
      <c r="D39" s="171">
        <f>SUM(E39:L39)</f>
        <v>4299.999999999999</v>
      </c>
      <c r="E39" s="149">
        <f>stroški!I53</f>
        <v>593.4</v>
      </c>
      <c r="F39" s="149">
        <f>stroški!J53</f>
        <v>477.3</v>
      </c>
      <c r="G39" s="149">
        <f>stroški!K53</f>
        <v>274.34</v>
      </c>
      <c r="H39" s="149">
        <f>stroški!L53</f>
        <v>186.19</v>
      </c>
      <c r="I39" s="149">
        <f>stroški!M53</f>
        <v>1489.09</v>
      </c>
      <c r="J39" s="149">
        <f>stroški!N53</f>
        <v>910.74</v>
      </c>
      <c r="K39" s="149">
        <f>stroški!O53</f>
        <v>272.62</v>
      </c>
      <c r="L39" s="149">
        <f>stroški!P53</f>
        <v>96.32000000000002</v>
      </c>
      <c r="M39" s="143"/>
      <c r="N39" s="203"/>
    </row>
    <row r="40" spans="5:14" ht="14.25" thickBot="1" thickTop="1">
      <c r="E40" s="134"/>
      <c r="F40" s="134"/>
      <c r="G40" s="134"/>
      <c r="H40" s="134"/>
      <c r="I40" s="134"/>
      <c r="J40" s="134"/>
      <c r="K40" s="134"/>
      <c r="L40" s="134"/>
      <c r="N40" s="203"/>
    </row>
    <row r="41" spans="3:14" ht="24.75" thickTop="1">
      <c r="C41" s="217" t="s">
        <v>156</v>
      </c>
      <c r="D41" s="147" t="s">
        <v>204</v>
      </c>
      <c r="E41" s="134"/>
      <c r="F41" s="134"/>
      <c r="G41" s="134"/>
      <c r="H41" s="134"/>
      <c r="I41" s="134"/>
      <c r="J41" s="134"/>
      <c r="K41" s="134"/>
      <c r="N41" s="203"/>
    </row>
    <row r="42" spans="1:17" ht="93" customHeight="1" thickBot="1">
      <c r="A42" s="231" t="s">
        <v>147</v>
      </c>
      <c r="B42" s="232"/>
      <c r="C42" s="218">
        <v>0</v>
      </c>
      <c r="D42" s="179">
        <v>0</v>
      </c>
      <c r="E42" s="134"/>
      <c r="F42" s="134"/>
      <c r="G42" s="134"/>
      <c r="H42" s="134"/>
      <c r="I42" s="134"/>
      <c r="J42" s="134"/>
      <c r="K42" s="134"/>
      <c r="Q42" s="21"/>
    </row>
    <row r="43" spans="5:11" ht="14.25" thickBot="1" thickTop="1">
      <c r="E43" s="134"/>
      <c r="F43" s="134"/>
      <c r="G43" s="134"/>
      <c r="H43" s="134"/>
      <c r="I43" s="134"/>
      <c r="J43" s="134"/>
      <c r="K43" s="134"/>
    </row>
    <row r="44" spans="1:11" ht="48" customHeight="1" thickBot="1" thickTop="1">
      <c r="A44" s="231" t="s">
        <v>148</v>
      </c>
      <c r="B44" s="232"/>
      <c r="C44" s="218">
        <v>0</v>
      </c>
      <c r="D44" s="180">
        <v>0</v>
      </c>
      <c r="E44" s="134"/>
      <c r="F44" s="134"/>
      <c r="G44" s="134"/>
      <c r="H44" s="134"/>
      <c r="I44" s="134"/>
      <c r="J44" s="134"/>
      <c r="K44" s="134"/>
    </row>
    <row r="45" spans="8:12" ht="13.5" thickTop="1">
      <c r="H45" s="134"/>
      <c r="I45" s="134"/>
      <c r="J45" s="134"/>
      <c r="K45" s="134"/>
      <c r="L45" s="134"/>
    </row>
    <row r="46" spans="1:12" ht="12.75">
      <c r="A46" s="21" t="s">
        <v>205</v>
      </c>
      <c r="H46" s="134"/>
      <c r="I46" s="134"/>
      <c r="L46" s="134"/>
    </row>
    <row r="47" spans="5:12" ht="12.75">
      <c r="E47" s="134"/>
      <c r="F47" s="134"/>
      <c r="G47" s="134"/>
      <c r="H47" s="134"/>
      <c r="I47" s="134"/>
      <c r="J47" s="134"/>
      <c r="L47" s="134"/>
    </row>
    <row r="48" spans="5:12" ht="12.75">
      <c r="E48" s="134"/>
      <c r="F48" s="134"/>
      <c r="G48" s="134"/>
      <c r="H48" s="134"/>
      <c r="I48" s="134"/>
      <c r="J48" s="134"/>
      <c r="K48" s="134"/>
      <c r="L48" s="134"/>
    </row>
    <row r="49" spans="1:12" ht="12.75">
      <c r="A49" t="s">
        <v>149</v>
      </c>
      <c r="D49" t="s">
        <v>150</v>
      </c>
      <c r="F49" s="134"/>
      <c r="G49" s="134"/>
      <c r="H49" s="134"/>
      <c r="I49" t="s">
        <v>70</v>
      </c>
      <c r="J49" s="134"/>
      <c r="K49" s="134"/>
      <c r="L49" s="134"/>
    </row>
    <row r="50" spans="1:12" ht="12.75">
      <c r="A50" t="s">
        <v>68</v>
      </c>
      <c r="D50" t="s">
        <v>69</v>
      </c>
      <c r="F50" s="134"/>
      <c r="G50" s="134"/>
      <c r="H50" s="134"/>
      <c r="I50" t="s">
        <v>67</v>
      </c>
      <c r="J50" s="134"/>
      <c r="K50" s="134"/>
      <c r="L50" s="134"/>
    </row>
    <row r="51" spans="5:12" ht="12.75">
      <c r="E51" s="134"/>
      <c r="F51" s="134"/>
      <c r="G51" s="134"/>
      <c r="H51" s="134"/>
      <c r="I51" s="134"/>
      <c r="J51" s="134"/>
      <c r="K51" s="134"/>
      <c r="L51" s="134"/>
    </row>
  </sheetData>
  <sheetProtection/>
  <mergeCells count="5">
    <mergeCell ref="A12:B12"/>
    <mergeCell ref="A30:B30"/>
    <mergeCell ref="A42:B42"/>
    <mergeCell ref="A44:B44"/>
    <mergeCell ref="A2:J2"/>
  </mergeCells>
  <printOptions/>
  <pageMargins left="0.7086614173228347" right="0.7086614173228347" top="0.41" bottom="0.3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PageLayoutView="0" workbookViewId="0" topLeftCell="A1">
      <selection activeCell="O56" sqref="O56"/>
    </sheetView>
  </sheetViews>
  <sheetFormatPr defaultColWidth="9.140625" defaultRowHeight="12.75"/>
  <cols>
    <col min="1" max="1" width="13.7109375" style="0" customWidth="1"/>
    <col min="2" max="2" width="7.28125" style="0" customWidth="1"/>
    <col min="3" max="3" width="6.8515625" style="0" customWidth="1"/>
    <col min="4" max="4" width="9.421875" style="0" customWidth="1"/>
    <col min="5" max="5" width="7.57421875" style="0" customWidth="1"/>
    <col min="6" max="6" width="9.421875" style="0" customWidth="1"/>
    <col min="7" max="8" width="9.140625" style="2" customWidth="1"/>
    <col min="9" max="9" width="8.8515625" style="33" customWidth="1"/>
    <col min="10" max="10" width="7.7109375" style="33" customWidth="1"/>
    <col min="11" max="11" width="7.8515625" style="33" customWidth="1"/>
    <col min="12" max="13" width="8.7109375" style="33" customWidth="1"/>
    <col min="14" max="14" width="9.140625" style="33" customWidth="1"/>
    <col min="15" max="15" width="8.57421875" style="33" customWidth="1"/>
    <col min="16" max="16" width="8.28125" style="33" customWidth="1"/>
    <col min="17" max="17" width="10.00390625" style="0" customWidth="1"/>
    <col min="18" max="18" width="10.140625" style="0" customWidth="1"/>
  </cols>
  <sheetData>
    <row r="1" spans="1:16" ht="36.75" customHeight="1">
      <c r="A1" s="3" t="s">
        <v>22</v>
      </c>
      <c r="B1" s="3" t="s">
        <v>19</v>
      </c>
      <c r="C1" s="3"/>
      <c r="D1" s="3"/>
      <c r="E1" s="4"/>
      <c r="F1" s="91"/>
      <c r="G1" s="221" t="s">
        <v>157</v>
      </c>
      <c r="H1" s="93" t="s">
        <v>158</v>
      </c>
      <c r="I1" s="26" t="s">
        <v>2</v>
      </c>
      <c r="J1" s="27" t="s">
        <v>3</v>
      </c>
      <c r="K1" s="27" t="s">
        <v>4</v>
      </c>
      <c r="L1" s="27" t="s">
        <v>5</v>
      </c>
      <c r="M1" s="27" t="s">
        <v>6</v>
      </c>
      <c r="N1" s="27" t="s">
        <v>7</v>
      </c>
      <c r="O1" s="27" t="s">
        <v>8</v>
      </c>
      <c r="P1" s="28" t="s">
        <v>12</v>
      </c>
    </row>
    <row r="2" spans="1:16" ht="12.75">
      <c r="A2" s="14" t="s">
        <v>57</v>
      </c>
      <c r="B2" s="3"/>
      <c r="C2" s="15" t="s">
        <v>13</v>
      </c>
      <c r="D2" s="15"/>
      <c r="E2" s="4"/>
      <c r="F2" s="91"/>
      <c r="G2" s="160"/>
      <c r="H2" s="94"/>
      <c r="I2" s="163"/>
      <c r="J2" s="29"/>
      <c r="K2" s="29"/>
      <c r="L2" s="29"/>
      <c r="M2" s="29"/>
      <c r="N2" s="29"/>
      <c r="O2" s="29"/>
      <c r="P2" s="29"/>
    </row>
    <row r="3" spans="1:18" ht="12" customHeight="1">
      <c r="A3" s="3">
        <v>402001</v>
      </c>
      <c r="B3" s="3">
        <v>402</v>
      </c>
      <c r="C3" s="236" t="s">
        <v>16</v>
      </c>
      <c r="D3" s="237"/>
      <c r="E3" s="237"/>
      <c r="F3" s="237"/>
      <c r="G3" s="161">
        <v>2500</v>
      </c>
      <c r="H3" s="95">
        <v>3000</v>
      </c>
      <c r="I3" s="163"/>
      <c r="J3" s="29"/>
      <c r="K3" s="29"/>
      <c r="L3" s="29"/>
      <c r="M3" s="29"/>
      <c r="N3" s="29"/>
      <c r="O3" s="29"/>
      <c r="P3" s="29"/>
      <c r="R3" s="2"/>
    </row>
    <row r="4" spans="1:18" ht="12" customHeight="1">
      <c r="A4" s="3">
        <v>402002</v>
      </c>
      <c r="B4" s="3">
        <v>402</v>
      </c>
      <c r="C4" s="236" t="s">
        <v>42</v>
      </c>
      <c r="D4" s="237"/>
      <c r="E4" s="237"/>
      <c r="F4" s="237"/>
      <c r="G4" s="161">
        <v>700</v>
      </c>
      <c r="H4" s="95">
        <v>700</v>
      </c>
      <c r="I4" s="163"/>
      <c r="J4" s="29"/>
      <c r="K4" s="29"/>
      <c r="L4" s="29"/>
      <c r="M4" s="29"/>
      <c r="N4" s="29"/>
      <c r="O4" s="29"/>
      <c r="P4" s="29"/>
      <c r="R4" s="2"/>
    </row>
    <row r="5" spans="1:18" ht="12" customHeight="1">
      <c r="A5" s="3">
        <v>402009</v>
      </c>
      <c r="B5" s="3">
        <v>402</v>
      </c>
      <c r="C5" s="236" t="s">
        <v>46</v>
      </c>
      <c r="D5" s="237"/>
      <c r="E5" s="237"/>
      <c r="F5" s="237"/>
      <c r="G5" s="161">
        <v>500</v>
      </c>
      <c r="H5" s="95">
        <v>500</v>
      </c>
      <c r="I5" s="163"/>
      <c r="J5" s="29"/>
      <c r="K5" s="29"/>
      <c r="L5" s="29"/>
      <c r="M5" s="29"/>
      <c r="N5" s="29"/>
      <c r="O5" s="29"/>
      <c r="P5" s="29"/>
      <c r="R5" s="2"/>
    </row>
    <row r="6" spans="1:18" ht="12" customHeight="1">
      <c r="A6" s="3">
        <v>402200</v>
      </c>
      <c r="B6" s="3">
        <v>402</v>
      </c>
      <c r="C6" s="236" t="s">
        <v>15</v>
      </c>
      <c r="D6" s="237"/>
      <c r="E6" s="237"/>
      <c r="F6" s="237"/>
      <c r="G6" s="161">
        <v>900</v>
      </c>
      <c r="H6" s="95">
        <v>950</v>
      </c>
      <c r="I6" s="163"/>
      <c r="J6" s="29"/>
      <c r="K6" s="29"/>
      <c r="L6" s="29"/>
      <c r="M6" s="29"/>
      <c r="N6" s="29"/>
      <c r="O6" s="29"/>
      <c r="P6" s="29"/>
      <c r="R6" s="2"/>
    </row>
    <row r="7" spans="1:18" ht="12" customHeight="1">
      <c r="A7" s="3">
        <v>402201</v>
      </c>
      <c r="B7" s="3">
        <v>402</v>
      </c>
      <c r="C7" s="236" t="s">
        <v>9</v>
      </c>
      <c r="D7" s="237"/>
      <c r="E7" s="237"/>
      <c r="F7" s="237"/>
      <c r="G7" s="161">
        <v>1600</v>
      </c>
      <c r="H7" s="95">
        <v>1400</v>
      </c>
      <c r="I7" s="163"/>
      <c r="J7" s="29"/>
      <c r="K7" s="29"/>
      <c r="L7" s="29"/>
      <c r="M7" s="29"/>
      <c r="N7" s="29"/>
      <c r="O7" s="29"/>
      <c r="P7" s="29"/>
      <c r="R7" s="2"/>
    </row>
    <row r="8" spans="1:18" ht="12" customHeight="1">
      <c r="A8" s="3">
        <v>402203</v>
      </c>
      <c r="B8" s="3">
        <v>402</v>
      </c>
      <c r="C8" s="236" t="s">
        <v>14</v>
      </c>
      <c r="D8" s="237"/>
      <c r="E8" s="237"/>
      <c r="F8" s="237"/>
      <c r="G8" s="161">
        <v>350</v>
      </c>
      <c r="H8" s="95">
        <v>350</v>
      </c>
      <c r="I8" s="163"/>
      <c r="J8" s="29"/>
      <c r="K8" s="29"/>
      <c r="L8" s="29"/>
      <c r="M8" s="29"/>
      <c r="N8" s="29"/>
      <c r="O8" s="29"/>
      <c r="P8" s="29"/>
      <c r="R8" s="2"/>
    </row>
    <row r="9" spans="1:18" ht="12" customHeight="1">
      <c r="A9" s="3">
        <v>402204</v>
      </c>
      <c r="B9" s="3">
        <v>402</v>
      </c>
      <c r="C9" s="236" t="s">
        <v>17</v>
      </c>
      <c r="D9" s="237"/>
      <c r="E9" s="237"/>
      <c r="F9" s="237"/>
      <c r="G9" s="161">
        <v>160</v>
      </c>
      <c r="H9" s="95">
        <v>160</v>
      </c>
      <c r="I9" s="163"/>
      <c r="J9" s="29"/>
      <c r="K9" s="29"/>
      <c r="L9" s="29"/>
      <c r="M9" s="29"/>
      <c r="N9" s="29"/>
      <c r="O9" s="29"/>
      <c r="P9" s="29"/>
      <c r="R9" s="2"/>
    </row>
    <row r="10" spans="1:18" ht="12" customHeight="1">
      <c r="A10" s="3">
        <v>402205</v>
      </c>
      <c r="B10" s="3">
        <v>402</v>
      </c>
      <c r="C10" s="236" t="s">
        <v>18</v>
      </c>
      <c r="D10" s="237"/>
      <c r="E10" s="237"/>
      <c r="F10" s="237"/>
      <c r="G10" s="161">
        <v>1500</v>
      </c>
      <c r="H10" s="95">
        <v>1500</v>
      </c>
      <c r="I10" s="163"/>
      <c r="J10" s="29"/>
      <c r="K10" s="29"/>
      <c r="L10" s="29"/>
      <c r="M10" s="29"/>
      <c r="N10" s="29"/>
      <c r="O10" s="29"/>
      <c r="P10" s="29"/>
      <c r="R10" s="2"/>
    </row>
    <row r="11" spans="1:18" ht="12" customHeight="1">
      <c r="A11" s="3">
        <v>402206</v>
      </c>
      <c r="B11" s="3">
        <v>402</v>
      </c>
      <c r="C11" s="236" t="s">
        <v>45</v>
      </c>
      <c r="D11" s="237"/>
      <c r="E11" s="237"/>
      <c r="F11" s="237"/>
      <c r="G11" s="161">
        <v>2500</v>
      </c>
      <c r="H11" s="95">
        <v>2500</v>
      </c>
      <c r="I11" s="163"/>
      <c r="J11" s="29"/>
      <c r="K11" s="29"/>
      <c r="L11" s="29"/>
      <c r="M11" s="29"/>
      <c r="N11" s="29"/>
      <c r="O11" s="29"/>
      <c r="P11" s="29"/>
      <c r="R11" s="2"/>
    </row>
    <row r="12" spans="1:18" ht="12" customHeight="1">
      <c r="A12" s="3"/>
      <c r="B12" s="3"/>
      <c r="C12" s="3" t="s">
        <v>20</v>
      </c>
      <c r="D12" s="3"/>
      <c r="E12" s="3"/>
      <c r="F12" s="91"/>
      <c r="G12" s="161"/>
      <c r="H12" s="95"/>
      <c r="I12" s="163"/>
      <c r="J12" s="29"/>
      <c r="K12" s="29"/>
      <c r="L12" s="29"/>
      <c r="M12" s="29"/>
      <c r="N12" s="29"/>
      <c r="O12" s="29"/>
      <c r="P12" s="29"/>
      <c r="R12" s="2"/>
    </row>
    <row r="13" spans="1:18" ht="12" customHeight="1">
      <c r="A13" s="3">
        <v>402300</v>
      </c>
      <c r="B13" s="3">
        <v>402</v>
      </c>
      <c r="C13" s="52"/>
      <c r="D13" s="238" t="s">
        <v>80</v>
      </c>
      <c r="E13" s="239"/>
      <c r="F13" s="239"/>
      <c r="G13" s="161">
        <v>4600</v>
      </c>
      <c r="H13" s="95">
        <v>4000</v>
      </c>
      <c r="I13" s="163"/>
      <c r="J13" s="29"/>
      <c r="K13" s="29"/>
      <c r="L13" s="29"/>
      <c r="M13" s="29"/>
      <c r="N13" s="29"/>
      <c r="O13" s="29"/>
      <c r="P13" s="29"/>
      <c r="R13" s="2"/>
    </row>
    <row r="14" spans="1:18" ht="12" customHeight="1">
      <c r="A14" s="3">
        <v>402301</v>
      </c>
      <c r="B14" s="3">
        <v>402</v>
      </c>
      <c r="C14" s="53"/>
      <c r="D14" s="55" t="s">
        <v>61</v>
      </c>
      <c r="E14" s="55"/>
      <c r="F14" s="92"/>
      <c r="G14" s="161">
        <v>3000</v>
      </c>
      <c r="H14" s="95">
        <v>3000</v>
      </c>
      <c r="I14" s="163"/>
      <c r="J14" s="29"/>
      <c r="K14" s="29"/>
      <c r="L14" s="29"/>
      <c r="M14" s="29"/>
      <c r="N14" s="29"/>
      <c r="O14" s="29"/>
      <c r="P14" s="29"/>
      <c r="R14" s="2"/>
    </row>
    <row r="15" spans="1:18" ht="12" customHeight="1">
      <c r="A15" s="3">
        <v>402305</v>
      </c>
      <c r="B15" s="3">
        <v>402</v>
      </c>
      <c r="C15" s="54"/>
      <c r="D15" s="55" t="s">
        <v>79</v>
      </c>
      <c r="E15" s="55"/>
      <c r="F15" s="92"/>
      <c r="G15" s="161">
        <v>1610</v>
      </c>
      <c r="H15" s="95">
        <v>1710</v>
      </c>
      <c r="I15" s="163"/>
      <c r="J15" s="29"/>
      <c r="K15" s="29"/>
      <c r="L15" s="29"/>
      <c r="M15" s="29"/>
      <c r="N15" s="29"/>
      <c r="O15" s="29"/>
      <c r="P15" s="29"/>
      <c r="R15" s="2"/>
    </row>
    <row r="16" spans="1:18" ht="12" customHeight="1">
      <c r="A16" s="3">
        <v>402500</v>
      </c>
      <c r="B16" s="3">
        <v>402</v>
      </c>
      <c r="C16" s="23" t="s">
        <v>161</v>
      </c>
      <c r="D16" s="3"/>
      <c r="E16" s="4"/>
      <c r="F16" s="91"/>
      <c r="G16" s="161">
        <v>100</v>
      </c>
      <c r="H16" s="95">
        <v>300</v>
      </c>
      <c r="I16" s="163"/>
      <c r="J16" s="29"/>
      <c r="K16" s="29"/>
      <c r="L16" s="29"/>
      <c r="M16" s="29"/>
      <c r="N16" s="29"/>
      <c r="O16" s="29"/>
      <c r="P16" s="29"/>
      <c r="R16" s="2"/>
    </row>
    <row r="17" spans="1:18" ht="12" customHeight="1">
      <c r="A17" s="3">
        <v>402504</v>
      </c>
      <c r="B17" s="3">
        <v>402</v>
      </c>
      <c r="C17" s="50" t="s">
        <v>43</v>
      </c>
      <c r="D17" s="51"/>
      <c r="E17" s="51"/>
      <c r="F17" s="51"/>
      <c r="G17" s="161">
        <v>350</v>
      </c>
      <c r="H17" s="95">
        <v>400</v>
      </c>
      <c r="I17" s="163">
        <v>400</v>
      </c>
      <c r="J17" s="29"/>
      <c r="K17" s="29"/>
      <c r="L17" s="29"/>
      <c r="M17" s="29"/>
      <c r="N17" s="29"/>
      <c r="O17" s="29"/>
      <c r="P17" s="29"/>
      <c r="R17" s="2"/>
    </row>
    <row r="18" spans="1:18" ht="12" customHeight="1">
      <c r="A18" s="3">
        <v>402600</v>
      </c>
      <c r="B18" s="3">
        <v>402</v>
      </c>
      <c r="C18" s="236" t="s">
        <v>48</v>
      </c>
      <c r="D18" s="237"/>
      <c r="E18" s="237"/>
      <c r="F18" s="237"/>
      <c r="G18" s="161">
        <v>6650</v>
      </c>
      <c r="H18" s="95">
        <v>6650</v>
      </c>
      <c r="I18" s="163"/>
      <c r="J18" s="29"/>
      <c r="K18" s="29"/>
      <c r="L18" s="29"/>
      <c r="M18" s="29"/>
      <c r="N18" s="29"/>
      <c r="O18" s="29"/>
      <c r="P18" s="29"/>
      <c r="Q18" s="2"/>
      <c r="R18" s="2"/>
    </row>
    <row r="19" spans="1:19" ht="12" customHeight="1">
      <c r="A19" s="3"/>
      <c r="B19" s="3"/>
      <c r="C19" s="3" t="s">
        <v>52</v>
      </c>
      <c r="D19" s="3"/>
      <c r="E19" s="4"/>
      <c r="F19" s="91"/>
      <c r="G19" s="161">
        <f>G8+G6+G7+G3+G9+G10+G16+G4+G5+G11+G15+G14+G13+G18</f>
        <v>26670</v>
      </c>
      <c r="H19" s="95">
        <f>H8+H6+H7+H3+H9+H10+H16+H4+H5+H11+H15+H14+H13+H18</f>
        <v>26720</v>
      </c>
      <c r="I19" s="163">
        <f>H19*13.8/100</f>
        <v>3687.36</v>
      </c>
      <c r="J19" s="29">
        <f>H19*11.1/100</f>
        <v>2965.92</v>
      </c>
      <c r="K19" s="29">
        <f>H19*6.38/100</f>
        <v>1704.736</v>
      </c>
      <c r="L19" s="29">
        <f>H19*4.33/100</f>
        <v>1156.976</v>
      </c>
      <c r="M19" s="29">
        <f>H19*34.63/100</f>
        <v>9253.136</v>
      </c>
      <c r="N19" s="29">
        <f>H19*21.18/100</f>
        <v>5659.295999999999</v>
      </c>
      <c r="O19" s="29">
        <f>H19*6.34/100</f>
        <v>1694.0479999999998</v>
      </c>
      <c r="P19" s="29">
        <f>H19*2.24/100</f>
        <v>598.528</v>
      </c>
      <c r="Q19" s="2">
        <f>SUM(I19:P19)</f>
        <v>26720</v>
      </c>
      <c r="R19" s="2"/>
      <c r="S19" s="2"/>
    </row>
    <row r="20" spans="1:19" ht="12" customHeight="1">
      <c r="A20" s="3"/>
      <c r="B20" s="3"/>
      <c r="C20" s="240"/>
      <c r="D20" s="241"/>
      <c r="E20" s="242"/>
      <c r="F20" s="91" t="s">
        <v>10</v>
      </c>
      <c r="G20" s="161">
        <f>G8+G6+G7+G3+G9+G10+G16+G4+G5+G11+G15+G14+G13+G18+G17</f>
        <v>27020</v>
      </c>
      <c r="H20" s="95">
        <f>H8+H6+H7+H3+H9+H10+H16+H4+H5+H11+H15+H14+H13+H18+H17</f>
        <v>27120</v>
      </c>
      <c r="I20" s="163">
        <f>SUM(I17:I19)</f>
        <v>4087.36</v>
      </c>
      <c r="J20" s="29">
        <f aca="true" t="shared" si="0" ref="J20:P20">SUM(J17:J19)</f>
        <v>2965.92</v>
      </c>
      <c r="K20" s="29">
        <f t="shared" si="0"/>
        <v>1704.736</v>
      </c>
      <c r="L20" s="29">
        <f t="shared" si="0"/>
        <v>1156.976</v>
      </c>
      <c r="M20" s="29">
        <f t="shared" si="0"/>
        <v>9253.136</v>
      </c>
      <c r="N20" s="29">
        <f t="shared" si="0"/>
        <v>5659.295999999999</v>
      </c>
      <c r="O20" s="29">
        <f t="shared" si="0"/>
        <v>1694.0479999999998</v>
      </c>
      <c r="P20" s="29">
        <f t="shared" si="0"/>
        <v>598.528</v>
      </c>
      <c r="Q20" s="2">
        <f>SUM(I20:P20)</f>
        <v>27120</v>
      </c>
      <c r="R20" s="2"/>
      <c r="S20" s="2"/>
    </row>
    <row r="21" spans="1:18" ht="12.75">
      <c r="A21" s="14" t="s">
        <v>58</v>
      </c>
      <c r="B21" s="3"/>
      <c r="C21" s="15" t="s">
        <v>36</v>
      </c>
      <c r="D21" s="50"/>
      <c r="E21" s="241"/>
      <c r="F21" s="241"/>
      <c r="G21" s="161"/>
      <c r="H21" s="95"/>
      <c r="I21" s="163"/>
      <c r="J21" s="29"/>
      <c r="K21" s="29"/>
      <c r="L21" s="29"/>
      <c r="M21" s="29"/>
      <c r="N21" s="29"/>
      <c r="O21" s="29"/>
      <c r="P21" s="29"/>
      <c r="Q21" s="2"/>
      <c r="R21" s="2"/>
    </row>
    <row r="22" spans="1:18" ht="12" customHeight="1">
      <c r="A22" s="3">
        <v>402000</v>
      </c>
      <c r="B22" s="3">
        <v>402</v>
      </c>
      <c r="C22" s="253" t="s">
        <v>28</v>
      </c>
      <c r="D22" s="249"/>
      <c r="E22" s="249"/>
      <c r="F22" s="249"/>
      <c r="G22" s="159">
        <v>2200</v>
      </c>
      <c r="H22" s="96">
        <v>2000</v>
      </c>
      <c r="I22" s="164"/>
      <c r="J22" s="29"/>
      <c r="K22" s="29"/>
      <c r="L22" s="29"/>
      <c r="M22" s="29"/>
      <c r="N22" s="29"/>
      <c r="O22" s="29"/>
      <c r="P22" s="29"/>
      <c r="Q22" s="2"/>
      <c r="R22" s="2"/>
    </row>
    <row r="23" spans="1:18" ht="12" customHeight="1">
      <c r="A23" s="3">
        <v>402001</v>
      </c>
      <c r="B23" s="3">
        <v>402</v>
      </c>
      <c r="C23" s="245" t="s">
        <v>160</v>
      </c>
      <c r="D23" s="249"/>
      <c r="E23" s="249"/>
      <c r="F23" s="249"/>
      <c r="G23" s="159">
        <v>600</v>
      </c>
      <c r="H23" s="96">
        <v>600</v>
      </c>
      <c r="I23" s="164"/>
      <c r="J23" s="29"/>
      <c r="K23" s="29"/>
      <c r="L23" s="29"/>
      <c r="M23" s="29"/>
      <c r="N23" s="29"/>
      <c r="O23" s="29"/>
      <c r="P23" s="29"/>
      <c r="Q23" s="2"/>
      <c r="R23" s="2"/>
    </row>
    <row r="24" spans="1:18" ht="12" customHeight="1">
      <c r="A24" s="3">
        <v>402004</v>
      </c>
      <c r="B24" s="3">
        <v>402</v>
      </c>
      <c r="C24" s="56" t="s">
        <v>64</v>
      </c>
      <c r="D24" s="49"/>
      <c r="E24" s="49"/>
      <c r="F24" s="66"/>
      <c r="G24" s="161">
        <v>1450</v>
      </c>
      <c r="H24" s="95">
        <v>1800</v>
      </c>
      <c r="I24" s="163"/>
      <c r="J24" s="29"/>
      <c r="K24" s="29"/>
      <c r="L24" s="29"/>
      <c r="M24" s="29"/>
      <c r="N24" s="29"/>
      <c r="O24" s="29"/>
      <c r="P24" s="29"/>
      <c r="Q24" s="2"/>
      <c r="R24" s="2"/>
    </row>
    <row r="25" spans="1:18" ht="12" customHeight="1">
      <c r="A25" s="3">
        <v>402099</v>
      </c>
      <c r="B25" s="3">
        <v>402</v>
      </c>
      <c r="C25" s="236" t="s">
        <v>39</v>
      </c>
      <c r="D25" s="237"/>
      <c r="E25" s="237"/>
      <c r="F25" s="237"/>
      <c r="G25" s="161">
        <v>200</v>
      </c>
      <c r="H25" s="95">
        <f>200+50</f>
        <v>250</v>
      </c>
      <c r="I25" s="163"/>
      <c r="J25" s="29"/>
      <c r="K25" s="29"/>
      <c r="L25" s="29"/>
      <c r="M25" s="29"/>
      <c r="N25" s="29"/>
      <c r="O25" s="29"/>
      <c r="P25" s="29"/>
      <c r="Q25" s="2"/>
      <c r="R25" s="2"/>
    </row>
    <row r="26" spans="1:18" ht="12" customHeight="1">
      <c r="A26" s="3">
        <v>402100</v>
      </c>
      <c r="B26" s="3">
        <v>402</v>
      </c>
      <c r="C26" s="256" t="s">
        <v>159</v>
      </c>
      <c r="D26" s="260"/>
      <c r="E26" s="260"/>
      <c r="F26" s="260"/>
      <c r="G26" s="161">
        <v>3200</v>
      </c>
      <c r="H26" s="95">
        <v>3300</v>
      </c>
      <c r="I26" s="163"/>
      <c r="J26" s="29"/>
      <c r="K26" s="29"/>
      <c r="L26" s="29"/>
      <c r="M26" s="29"/>
      <c r="N26" s="29"/>
      <c r="O26" s="29"/>
      <c r="P26" s="29"/>
      <c r="Q26" s="2"/>
      <c r="R26" s="2"/>
    </row>
    <row r="27" spans="1:18" ht="36" customHeight="1">
      <c r="A27" s="3">
        <v>402108</v>
      </c>
      <c r="B27" s="3">
        <v>402</v>
      </c>
      <c r="C27" s="252" t="s">
        <v>65</v>
      </c>
      <c r="D27" s="252"/>
      <c r="E27" s="252"/>
      <c r="F27" s="253"/>
      <c r="G27" s="159">
        <v>150</v>
      </c>
      <c r="H27" s="96">
        <f>150+400</f>
        <v>550</v>
      </c>
      <c r="I27" s="164"/>
      <c r="J27" s="29"/>
      <c r="K27" s="29"/>
      <c r="L27" s="29"/>
      <c r="M27" s="29"/>
      <c r="N27" s="29"/>
      <c r="O27" s="29"/>
      <c r="P27" s="29"/>
      <c r="Q27" s="2"/>
      <c r="R27" s="2"/>
    </row>
    <row r="28" spans="1:18" ht="12" customHeight="1">
      <c r="A28" s="3">
        <v>402199</v>
      </c>
      <c r="B28" s="3">
        <v>402</v>
      </c>
      <c r="C28" s="256" t="s">
        <v>162</v>
      </c>
      <c r="D28" s="237"/>
      <c r="E28" s="237"/>
      <c r="F28" s="237"/>
      <c r="G28" s="161">
        <v>135</v>
      </c>
      <c r="H28" s="95">
        <v>200</v>
      </c>
      <c r="I28" s="163"/>
      <c r="J28" s="29"/>
      <c r="K28" s="29"/>
      <c r="L28" s="29"/>
      <c r="M28" s="29"/>
      <c r="N28" s="29"/>
      <c r="O28" s="29"/>
      <c r="P28" s="29"/>
      <c r="Q28" s="2"/>
      <c r="R28" s="2"/>
    </row>
    <row r="29" spans="1:18" ht="12" customHeight="1">
      <c r="A29" s="3">
        <v>402199</v>
      </c>
      <c r="B29" s="3">
        <v>402</v>
      </c>
      <c r="C29" s="236" t="s">
        <v>25</v>
      </c>
      <c r="D29" s="237"/>
      <c r="E29" s="237"/>
      <c r="F29" s="237"/>
      <c r="G29" s="161">
        <v>800</v>
      </c>
      <c r="H29" s="95">
        <f>500+150</f>
        <v>650</v>
      </c>
      <c r="I29" s="163"/>
      <c r="J29" s="29"/>
      <c r="K29" s="29"/>
      <c r="L29" s="29"/>
      <c r="M29" s="29"/>
      <c r="N29" s="29"/>
      <c r="O29" s="29"/>
      <c r="P29" s="29"/>
      <c r="Q29" s="2"/>
      <c r="R29" s="2"/>
    </row>
    <row r="30" spans="1:18" ht="12" customHeight="1">
      <c r="A30" s="3">
        <v>402199</v>
      </c>
      <c r="B30" s="3">
        <v>402</v>
      </c>
      <c r="C30" s="236" t="s">
        <v>50</v>
      </c>
      <c r="D30" s="237"/>
      <c r="E30" s="237"/>
      <c r="F30" s="237"/>
      <c r="G30" s="161">
        <v>260</v>
      </c>
      <c r="H30" s="95">
        <v>260</v>
      </c>
      <c r="I30" s="163"/>
      <c r="J30" s="29"/>
      <c r="K30" s="29"/>
      <c r="L30" s="29"/>
      <c r="M30" s="29"/>
      <c r="N30" s="29"/>
      <c r="O30" s="29"/>
      <c r="P30" s="29"/>
      <c r="Q30" s="2"/>
      <c r="R30" s="2"/>
    </row>
    <row r="31" spans="1:18" ht="12" customHeight="1">
      <c r="A31" s="3">
        <v>402199</v>
      </c>
      <c r="B31" s="3">
        <v>402</v>
      </c>
      <c r="C31" s="49" t="s">
        <v>21</v>
      </c>
      <c r="D31" s="49"/>
      <c r="E31" s="49"/>
      <c r="F31" s="66"/>
      <c r="G31" s="161">
        <v>9000</v>
      </c>
      <c r="H31" s="95">
        <v>9000</v>
      </c>
      <c r="I31" s="163">
        <f>H31*14.71/100</f>
        <v>1323.9</v>
      </c>
      <c r="J31" s="29">
        <f>H31*11.86/100</f>
        <v>1067.4</v>
      </c>
      <c r="K31" s="29">
        <v>0</v>
      </c>
      <c r="L31" s="29">
        <f>H31*4.66/100</f>
        <v>419.4</v>
      </c>
      <c r="M31" s="29">
        <f>H31*37.08/100</f>
        <v>3337.2</v>
      </c>
      <c r="N31" s="29">
        <f>H31*22.51/100</f>
        <v>2025.9</v>
      </c>
      <c r="O31" s="29">
        <f>H31*6.76/100</f>
        <v>608.4</v>
      </c>
      <c r="P31" s="29">
        <f>H31*2.42/100</f>
        <v>217.8</v>
      </c>
      <c r="Q31" s="2">
        <f>I31+J31+L31+M31+N31+O31+P31</f>
        <v>8999.999999999998</v>
      </c>
      <c r="R31" s="2"/>
    </row>
    <row r="32" spans="1:18" ht="12" customHeight="1">
      <c r="A32" s="3">
        <v>402199</v>
      </c>
      <c r="B32" s="3">
        <v>402</v>
      </c>
      <c r="C32" s="256" t="s">
        <v>76</v>
      </c>
      <c r="D32" s="260"/>
      <c r="E32" s="260"/>
      <c r="F32" s="260"/>
      <c r="G32" s="161">
        <v>5627.25</v>
      </c>
      <c r="H32" s="95">
        <f>J32+M32+O32</f>
        <v>5627.25</v>
      </c>
      <c r="I32" s="163"/>
      <c r="J32" s="29">
        <v>1250.5</v>
      </c>
      <c r="K32" s="29"/>
      <c r="L32" s="29"/>
      <c r="M32" s="29">
        <v>3751.5</v>
      </c>
      <c r="N32" s="29"/>
      <c r="O32" s="29">
        <v>625.25</v>
      </c>
      <c r="P32" s="29"/>
      <c r="Q32" s="2">
        <f>SUM(I32:P44)</f>
        <v>5627.25</v>
      </c>
      <c r="R32" s="2"/>
    </row>
    <row r="33" spans="1:18" ht="12" customHeight="1">
      <c r="A33" s="3">
        <v>402299</v>
      </c>
      <c r="B33" s="3">
        <v>402</v>
      </c>
      <c r="C33" s="236" t="s">
        <v>63</v>
      </c>
      <c r="D33" s="237"/>
      <c r="E33" s="237"/>
      <c r="F33" s="237"/>
      <c r="G33" s="161">
        <v>850</v>
      </c>
      <c r="H33" s="95">
        <v>850</v>
      </c>
      <c r="I33" s="163"/>
      <c r="J33" s="29"/>
      <c r="K33" s="29"/>
      <c r="L33" s="29"/>
      <c r="M33" s="29"/>
      <c r="N33" s="29"/>
      <c r="O33" s="29"/>
      <c r="P33" s="29"/>
      <c r="Q33" s="2"/>
      <c r="R33" s="2"/>
    </row>
    <row r="34" spans="1:18" ht="12" customHeight="1">
      <c r="A34" s="3">
        <v>402401</v>
      </c>
      <c r="B34" s="3">
        <v>402</v>
      </c>
      <c r="C34" s="236" t="s">
        <v>40</v>
      </c>
      <c r="D34" s="237"/>
      <c r="E34" s="237"/>
      <c r="F34" s="237"/>
      <c r="G34" s="161">
        <v>0</v>
      </c>
      <c r="H34" s="95">
        <v>0</v>
      </c>
      <c r="I34" s="163"/>
      <c r="J34" s="29"/>
      <c r="K34" s="29"/>
      <c r="L34" s="29"/>
      <c r="M34" s="29"/>
      <c r="N34" s="29"/>
      <c r="O34" s="29"/>
      <c r="P34" s="29"/>
      <c r="Q34" s="2"/>
      <c r="R34" s="2"/>
    </row>
    <row r="35" spans="1:18" ht="12" customHeight="1">
      <c r="A35" s="3">
        <v>402514</v>
      </c>
      <c r="B35" s="3">
        <v>402</v>
      </c>
      <c r="C35" s="49" t="s">
        <v>51</v>
      </c>
      <c r="D35" s="49"/>
      <c r="E35" s="49"/>
      <c r="F35" s="66"/>
      <c r="G35" s="161">
        <v>5500</v>
      </c>
      <c r="H35" s="95">
        <v>6000</v>
      </c>
      <c r="I35" s="163"/>
      <c r="J35" s="29"/>
      <c r="K35" s="29"/>
      <c r="L35" s="29"/>
      <c r="M35" s="29"/>
      <c r="N35" s="29"/>
      <c r="O35" s="29"/>
      <c r="P35" s="29"/>
      <c r="Q35" s="2"/>
      <c r="R35" s="2"/>
    </row>
    <row r="36" spans="1:18" ht="12" customHeight="1">
      <c r="A36" s="3">
        <v>402514</v>
      </c>
      <c r="B36" s="3">
        <v>402</v>
      </c>
      <c r="C36" s="56" t="s">
        <v>184</v>
      </c>
      <c r="D36" s="49"/>
      <c r="E36" s="49"/>
      <c r="F36" s="66"/>
      <c r="G36" s="161">
        <v>0</v>
      </c>
      <c r="H36" s="95">
        <v>220</v>
      </c>
      <c r="I36" s="163"/>
      <c r="J36" s="29"/>
      <c r="K36" s="29"/>
      <c r="L36" s="29"/>
      <c r="M36" s="29"/>
      <c r="N36" s="29"/>
      <c r="O36" s="29"/>
      <c r="P36" s="29"/>
      <c r="Q36" s="2"/>
      <c r="R36" s="2"/>
    </row>
    <row r="37" spans="1:18" ht="12" customHeight="1">
      <c r="A37" s="3">
        <v>402514</v>
      </c>
      <c r="B37" s="3">
        <v>402</v>
      </c>
      <c r="C37" s="49" t="s">
        <v>44</v>
      </c>
      <c r="D37" s="49"/>
      <c r="E37" s="49"/>
      <c r="F37" s="66"/>
      <c r="G37" s="161">
        <v>1700</v>
      </c>
      <c r="H37" s="95">
        <v>1700</v>
      </c>
      <c r="I37" s="163"/>
      <c r="J37" s="29"/>
      <c r="K37" s="29"/>
      <c r="L37" s="29"/>
      <c r="M37" s="29"/>
      <c r="N37" s="29"/>
      <c r="O37" s="29"/>
      <c r="P37" s="29"/>
      <c r="Q37" s="2"/>
      <c r="R37" s="2"/>
    </row>
    <row r="38" spans="1:18" ht="12" customHeight="1">
      <c r="A38" s="3">
        <v>402515</v>
      </c>
      <c r="B38" s="3">
        <v>402</v>
      </c>
      <c r="C38" s="256" t="s">
        <v>81</v>
      </c>
      <c r="D38" s="237"/>
      <c r="E38" s="237"/>
      <c r="F38" s="237"/>
      <c r="G38" s="161">
        <v>3200</v>
      </c>
      <c r="H38" s="95">
        <v>3200</v>
      </c>
      <c r="I38" s="163"/>
      <c r="J38" s="29"/>
      <c r="K38" s="29"/>
      <c r="L38" s="29"/>
      <c r="M38" s="29"/>
      <c r="N38" s="29"/>
      <c r="O38" s="29"/>
      <c r="P38" s="29"/>
      <c r="Q38" s="2"/>
      <c r="R38" s="2"/>
    </row>
    <row r="39" spans="1:19" ht="12" customHeight="1">
      <c r="A39" s="3">
        <v>402604</v>
      </c>
      <c r="B39" s="3">
        <v>402</v>
      </c>
      <c r="C39" s="65" t="s">
        <v>83</v>
      </c>
      <c r="D39" s="64"/>
      <c r="E39" s="64"/>
      <c r="F39" s="64"/>
      <c r="G39" s="161">
        <v>1880</v>
      </c>
      <c r="H39" s="95">
        <v>1880</v>
      </c>
      <c r="I39" s="163"/>
      <c r="J39" s="29"/>
      <c r="K39" s="29"/>
      <c r="L39" s="29"/>
      <c r="M39" s="29"/>
      <c r="N39" s="29"/>
      <c r="O39" s="29"/>
      <c r="P39" s="29"/>
      <c r="Q39" s="2"/>
      <c r="R39" s="2"/>
      <c r="S39" s="21"/>
    </row>
    <row r="40" spans="1:18" ht="12" customHeight="1">
      <c r="A40" s="3">
        <v>402699</v>
      </c>
      <c r="B40" s="3">
        <v>402</v>
      </c>
      <c r="C40" s="236" t="s">
        <v>66</v>
      </c>
      <c r="D40" s="237"/>
      <c r="E40" s="237"/>
      <c r="F40" s="237"/>
      <c r="G40" s="161">
        <v>400</v>
      </c>
      <c r="H40" s="95">
        <v>400</v>
      </c>
      <c r="I40" s="163"/>
      <c r="J40" s="29"/>
      <c r="K40" s="29"/>
      <c r="L40" s="29"/>
      <c r="M40" s="29"/>
      <c r="N40" s="29"/>
      <c r="O40" s="29"/>
      <c r="P40" s="29"/>
      <c r="Q40" s="2"/>
      <c r="R40" s="2"/>
    </row>
    <row r="41" spans="1:18" ht="12" customHeight="1">
      <c r="A41" s="3">
        <v>402907</v>
      </c>
      <c r="B41" s="3">
        <v>402</v>
      </c>
      <c r="C41" s="256" t="s">
        <v>199</v>
      </c>
      <c r="D41" s="260"/>
      <c r="E41" s="260"/>
      <c r="F41" s="260"/>
      <c r="G41" s="161">
        <v>800</v>
      </c>
      <c r="H41" s="95">
        <f>800+1000</f>
        <v>1800</v>
      </c>
      <c r="I41" s="163"/>
      <c r="J41" s="29"/>
      <c r="K41" s="29"/>
      <c r="L41" s="29"/>
      <c r="M41" s="29"/>
      <c r="N41" s="29"/>
      <c r="O41" s="29"/>
      <c r="P41" s="29"/>
      <c r="Q41" s="2"/>
      <c r="R41" s="2"/>
    </row>
    <row r="42" spans="1:18" ht="12" customHeight="1">
      <c r="A42" s="3">
        <v>402920</v>
      </c>
      <c r="B42" s="3">
        <v>402</v>
      </c>
      <c r="C42" s="49" t="s">
        <v>53</v>
      </c>
      <c r="D42" s="49"/>
      <c r="E42" s="49"/>
      <c r="F42" s="66"/>
      <c r="G42" s="161">
        <v>300</v>
      </c>
      <c r="H42" s="95">
        <v>1000</v>
      </c>
      <c r="I42" s="163"/>
      <c r="J42" s="29"/>
      <c r="K42" s="29"/>
      <c r="L42" s="29"/>
      <c r="M42" s="29"/>
      <c r="N42" s="29"/>
      <c r="O42" s="29"/>
      <c r="P42" s="29"/>
      <c r="Q42" s="2"/>
      <c r="R42" s="2"/>
    </row>
    <row r="43" spans="1:18" ht="12" customHeight="1">
      <c r="A43" s="3">
        <v>402938</v>
      </c>
      <c r="B43" s="3">
        <v>402</v>
      </c>
      <c r="C43" s="49" t="s">
        <v>38</v>
      </c>
      <c r="D43" s="50"/>
      <c r="E43" s="51"/>
      <c r="F43" s="51"/>
      <c r="G43" s="161">
        <v>1000</v>
      </c>
      <c r="H43" s="95">
        <v>1000</v>
      </c>
      <c r="I43" s="163"/>
      <c r="J43" s="29"/>
      <c r="K43" s="29"/>
      <c r="L43" s="29"/>
      <c r="M43" s="29"/>
      <c r="N43" s="29"/>
      <c r="O43" s="29"/>
      <c r="P43" s="29"/>
      <c r="Q43" s="2"/>
      <c r="R43" s="2"/>
    </row>
    <row r="44" spans="1:18" ht="12" customHeight="1">
      <c r="A44" s="3">
        <v>402999</v>
      </c>
      <c r="B44" s="3">
        <v>402</v>
      </c>
      <c r="C44" s="49" t="s">
        <v>84</v>
      </c>
      <c r="D44" s="50"/>
      <c r="E44" s="51"/>
      <c r="F44" s="51"/>
      <c r="G44" s="161">
        <v>250</v>
      </c>
      <c r="H44" s="95">
        <v>250</v>
      </c>
      <c r="I44" s="163"/>
      <c r="J44" s="29"/>
      <c r="K44" s="29"/>
      <c r="L44" s="29"/>
      <c r="M44" s="29"/>
      <c r="N44" s="29"/>
      <c r="O44" s="29"/>
      <c r="P44" s="29"/>
      <c r="Q44" s="2"/>
      <c r="R44" s="2"/>
    </row>
    <row r="45" spans="1:19" ht="12.75" customHeight="1">
      <c r="A45" s="3"/>
      <c r="B45" s="3"/>
      <c r="C45" s="257"/>
      <c r="D45" s="258"/>
      <c r="E45" s="259"/>
      <c r="F45" s="91" t="s">
        <v>10</v>
      </c>
      <c r="G45" s="161">
        <f>G22+G23+G24+G25+G26+G27+G28+G29+G30+G33+G34+G35+G37+G38+G39+G40+G41+G42+G43+G44</f>
        <v>24875</v>
      </c>
      <c r="H45" s="95">
        <f>H22+H23+H24+H25+H26+H27+H28+H29+H30+H33+H34+H35+H37+H38+H39+H40+H41+H42+H43+H44+H36</f>
        <v>27910</v>
      </c>
      <c r="I45" s="163">
        <f>H45*13.8/100</f>
        <v>3851.58</v>
      </c>
      <c r="J45" s="29">
        <f>H45*11.1/100</f>
        <v>3098.01</v>
      </c>
      <c r="K45" s="29">
        <f>H45*6.38/100</f>
        <v>1780.658</v>
      </c>
      <c r="L45" s="29">
        <f>H45*4.33/100</f>
        <v>1208.503</v>
      </c>
      <c r="M45" s="29">
        <f>H45*34.63/100</f>
        <v>9665.233</v>
      </c>
      <c r="N45" s="29">
        <f>H45*21.18/100</f>
        <v>5911.338000000001</v>
      </c>
      <c r="O45" s="29">
        <f>H45*6.34/100</f>
        <v>1769.494</v>
      </c>
      <c r="P45" s="29">
        <f>H45*2.24/100</f>
        <v>625.1840000000001</v>
      </c>
      <c r="Q45" s="2">
        <f>I45+J45+K45+L45+M45+N45+O45+P45</f>
        <v>27910</v>
      </c>
      <c r="R45" s="2"/>
      <c r="S45" s="2"/>
    </row>
    <row r="46" spans="1:19" ht="12" customHeight="1">
      <c r="A46" s="3"/>
      <c r="B46" s="3"/>
      <c r="C46" s="3"/>
      <c r="D46" s="23" t="s">
        <v>82</v>
      </c>
      <c r="E46" s="3"/>
      <c r="F46" s="91"/>
      <c r="G46" s="161">
        <f>G45+G31+G32</f>
        <v>39502.25</v>
      </c>
      <c r="H46" s="95">
        <f>H45+H31+H32</f>
        <v>42537.25</v>
      </c>
      <c r="I46" s="163">
        <f>I45+I31</f>
        <v>5175.48</v>
      </c>
      <c r="J46" s="29">
        <f>J45+J31+J32</f>
        <v>5415.91</v>
      </c>
      <c r="K46" s="29">
        <f>K45+K31</f>
        <v>1780.658</v>
      </c>
      <c r="L46" s="29">
        <f>L45+L31</f>
        <v>1627.9029999999998</v>
      </c>
      <c r="M46" s="29">
        <f>M45+M31+M32</f>
        <v>16753.933</v>
      </c>
      <c r="N46" s="29">
        <f>N45+N31</f>
        <v>7937.238000000001</v>
      </c>
      <c r="O46" s="29">
        <f>O45+O31+O32</f>
        <v>3003.144</v>
      </c>
      <c r="P46" s="29">
        <f>P45+P31</f>
        <v>842.9840000000002</v>
      </c>
      <c r="Q46" s="2">
        <f>SUM(I46:P46)</f>
        <v>42537.25</v>
      </c>
      <c r="R46" s="2"/>
      <c r="S46" s="2"/>
    </row>
    <row r="47" spans="1:20" s="1" customFormat="1" ht="12.75" customHeight="1">
      <c r="A47" s="14"/>
      <c r="B47" s="14"/>
      <c r="C47" s="247" t="s">
        <v>33</v>
      </c>
      <c r="D47" s="248"/>
      <c r="E47" s="248"/>
      <c r="F47" s="248"/>
      <c r="G47" s="162">
        <f>G20+G46</f>
        <v>66522.25</v>
      </c>
      <c r="H47" s="97">
        <f>H20+H46</f>
        <v>69657.25</v>
      </c>
      <c r="I47" s="165">
        <f>I20+I46</f>
        <v>9262.84</v>
      </c>
      <c r="J47" s="31">
        <f aca="true" t="shared" si="1" ref="J47:P47">J20+J46</f>
        <v>8381.83</v>
      </c>
      <c r="K47" s="31">
        <f t="shared" si="1"/>
        <v>3485.3940000000002</v>
      </c>
      <c r="L47" s="31">
        <f t="shared" si="1"/>
        <v>2784.879</v>
      </c>
      <c r="M47" s="31">
        <f t="shared" si="1"/>
        <v>26007.069000000003</v>
      </c>
      <c r="N47" s="31">
        <f t="shared" si="1"/>
        <v>13596.534</v>
      </c>
      <c r="O47" s="31">
        <f t="shared" si="1"/>
        <v>4697.191999999999</v>
      </c>
      <c r="P47" s="31">
        <f t="shared" si="1"/>
        <v>1441.5120000000002</v>
      </c>
      <c r="Q47" s="11">
        <f>SUM(I47:P47)</f>
        <v>69657.25</v>
      </c>
      <c r="R47" s="2"/>
      <c r="S47" s="2"/>
      <c r="T47" s="11"/>
    </row>
    <row r="48" spans="1:18" s="1" customFormat="1" ht="12" customHeight="1">
      <c r="A48" s="14" t="s">
        <v>59</v>
      </c>
      <c r="B48" s="14"/>
      <c r="C48" s="247" t="s">
        <v>60</v>
      </c>
      <c r="D48" s="248"/>
      <c r="E48" s="248"/>
      <c r="F48" s="248"/>
      <c r="G48" s="162"/>
      <c r="H48" s="97"/>
      <c r="I48" s="165"/>
      <c r="J48" s="31"/>
      <c r="K48" s="31"/>
      <c r="L48" s="31"/>
      <c r="M48" s="31"/>
      <c r="N48" s="31"/>
      <c r="O48" s="31"/>
      <c r="P48" s="31"/>
      <c r="Q48" s="11"/>
      <c r="R48" s="2"/>
    </row>
    <row r="49" spans="1:18" ht="15.75" customHeight="1">
      <c r="A49" s="3">
        <v>420202</v>
      </c>
      <c r="B49" s="3">
        <v>420</v>
      </c>
      <c r="C49" s="245" t="s">
        <v>127</v>
      </c>
      <c r="D49" s="249"/>
      <c r="E49" s="249"/>
      <c r="F49" s="249"/>
      <c r="G49" s="161">
        <v>200</v>
      </c>
      <c r="H49" s="95">
        <f>1500+1300</f>
        <v>2800</v>
      </c>
      <c r="I49" s="163"/>
      <c r="J49" s="29"/>
      <c r="K49" s="29"/>
      <c r="L49" s="29"/>
      <c r="M49" s="29"/>
      <c r="N49" s="29"/>
      <c r="O49" s="29"/>
      <c r="P49" s="29"/>
      <c r="Q49" s="2"/>
      <c r="R49" s="2"/>
    </row>
    <row r="50" spans="1:18" ht="14.25" customHeight="1">
      <c r="A50" s="3">
        <v>420224</v>
      </c>
      <c r="B50" s="3">
        <v>420</v>
      </c>
      <c r="C50" s="245" t="s">
        <v>126</v>
      </c>
      <c r="D50" s="246"/>
      <c r="E50" s="90"/>
      <c r="F50" s="90"/>
      <c r="G50" s="161">
        <v>400</v>
      </c>
      <c r="H50" s="95">
        <v>0</v>
      </c>
      <c r="I50" s="163"/>
      <c r="J50" s="29"/>
      <c r="K50" s="29"/>
      <c r="L50" s="29"/>
      <c r="M50" s="29"/>
      <c r="N50" s="29"/>
      <c r="O50" s="29"/>
      <c r="P50" s="29"/>
      <c r="Q50" s="2"/>
      <c r="R50" s="2"/>
    </row>
    <row r="51" spans="1:18" ht="13.5" customHeight="1">
      <c r="A51" s="3">
        <v>420200</v>
      </c>
      <c r="B51" s="3">
        <v>420</v>
      </c>
      <c r="C51" s="245" t="s">
        <v>125</v>
      </c>
      <c r="D51" s="246"/>
      <c r="E51" s="246"/>
      <c r="F51" s="246"/>
      <c r="G51" s="161">
        <v>600</v>
      </c>
      <c r="H51" s="95">
        <v>0</v>
      </c>
      <c r="I51" s="163"/>
      <c r="J51" s="29"/>
      <c r="K51" s="29"/>
      <c r="L51" s="29"/>
      <c r="M51" s="29"/>
      <c r="N51" s="29"/>
      <c r="O51" s="29"/>
      <c r="P51" s="29"/>
      <c r="Q51" s="2"/>
      <c r="R51" s="2"/>
    </row>
    <row r="52" spans="1:18" ht="13.5" customHeight="1">
      <c r="A52" s="3">
        <v>420200</v>
      </c>
      <c r="B52" s="3">
        <v>420</v>
      </c>
      <c r="C52" s="245" t="s">
        <v>200</v>
      </c>
      <c r="D52" s="246"/>
      <c r="E52" s="246"/>
      <c r="F52" s="246"/>
      <c r="G52" s="161">
        <v>0</v>
      </c>
      <c r="H52" s="95">
        <v>1500</v>
      </c>
      <c r="I52" s="163"/>
      <c r="J52" s="29"/>
      <c r="K52" s="29"/>
      <c r="L52" s="29"/>
      <c r="M52" s="29"/>
      <c r="N52" s="29"/>
      <c r="O52" s="29"/>
      <c r="P52" s="29"/>
      <c r="Q52" s="2"/>
      <c r="R52" s="2"/>
    </row>
    <row r="53" spans="1:19" s="1" customFormat="1" ht="12" customHeight="1" thickBot="1">
      <c r="A53" s="14"/>
      <c r="B53" s="14"/>
      <c r="C53" s="247" t="s">
        <v>49</v>
      </c>
      <c r="D53" s="248"/>
      <c r="E53" s="248"/>
      <c r="F53" s="248"/>
      <c r="G53" s="162">
        <f>SUM(G49:G52)</f>
        <v>1200</v>
      </c>
      <c r="H53" s="167">
        <f>SUM(H49:H52)</f>
        <v>4300</v>
      </c>
      <c r="I53" s="165">
        <f>H53*13.8/100</f>
        <v>593.4</v>
      </c>
      <c r="J53" s="31">
        <f>H53*11.1/100</f>
        <v>477.3</v>
      </c>
      <c r="K53" s="31">
        <f>H53*6.38/100</f>
        <v>274.34</v>
      </c>
      <c r="L53" s="31">
        <f>H53*4.33/100</f>
        <v>186.19</v>
      </c>
      <c r="M53" s="31">
        <f>H53*34.63/100</f>
        <v>1489.09</v>
      </c>
      <c r="N53" s="31">
        <f>H53*21.18/100</f>
        <v>910.74</v>
      </c>
      <c r="O53" s="31">
        <f>H53*6.34/100</f>
        <v>272.62</v>
      </c>
      <c r="P53" s="31">
        <f>H53*2.24/100</f>
        <v>96.32000000000002</v>
      </c>
      <c r="Q53" s="11">
        <f>SUM(I53:P53)</f>
        <v>4299.999999999999</v>
      </c>
      <c r="R53" s="2"/>
      <c r="S53" s="11"/>
    </row>
    <row r="54" spans="1:19" s="16" customFormat="1" ht="13.5" thickBot="1">
      <c r="A54" s="18"/>
      <c r="B54" s="18" t="s">
        <v>0</v>
      </c>
      <c r="C54" s="18"/>
      <c r="D54" s="19"/>
      <c r="E54" s="19"/>
      <c r="F54" s="19"/>
      <c r="G54" s="166">
        <f>G47+G53</f>
        <v>67722.25</v>
      </c>
      <c r="H54" s="98">
        <f>H47+H53</f>
        <v>73957.25</v>
      </c>
      <c r="I54" s="32">
        <f aca="true" t="shared" si="2" ref="I54:P54">I47+I53</f>
        <v>9856.24</v>
      </c>
      <c r="J54" s="32">
        <f t="shared" si="2"/>
        <v>8859.13</v>
      </c>
      <c r="K54" s="32">
        <f t="shared" si="2"/>
        <v>3759.7340000000004</v>
      </c>
      <c r="L54" s="32">
        <f t="shared" si="2"/>
        <v>2971.069</v>
      </c>
      <c r="M54" s="32">
        <f t="shared" si="2"/>
        <v>27496.159000000003</v>
      </c>
      <c r="N54" s="32">
        <f t="shared" si="2"/>
        <v>14507.274</v>
      </c>
      <c r="O54" s="32">
        <f t="shared" si="2"/>
        <v>4969.811999999999</v>
      </c>
      <c r="P54" s="32">
        <f t="shared" si="2"/>
        <v>1537.832</v>
      </c>
      <c r="Q54" s="17">
        <f>SUM(I54:P54)</f>
        <v>73957.25</v>
      </c>
      <c r="R54" s="2"/>
      <c r="S54" s="17"/>
    </row>
    <row r="56" spans="1:17" ht="38.25">
      <c r="A56" s="43" t="s">
        <v>35</v>
      </c>
      <c r="B56" s="44" t="s">
        <v>2</v>
      </c>
      <c r="C56" s="44" t="s">
        <v>3</v>
      </c>
      <c r="D56" s="44" t="s">
        <v>4</v>
      </c>
      <c r="E56" s="44" t="s">
        <v>5</v>
      </c>
      <c r="F56" s="44" t="s">
        <v>6</v>
      </c>
      <c r="G56" s="44" t="s">
        <v>7</v>
      </c>
      <c r="H56" s="27" t="s">
        <v>8</v>
      </c>
      <c r="I56" s="28" t="s">
        <v>12</v>
      </c>
      <c r="K56" s="28" t="s">
        <v>0</v>
      </c>
      <c r="L56" s="44"/>
      <c r="Q56" s="2"/>
    </row>
    <row r="57" spans="1:12" ht="12.75">
      <c r="A57" s="45" t="s">
        <v>11</v>
      </c>
      <c r="B57" s="12">
        <v>8819</v>
      </c>
      <c r="C57" s="12">
        <v>6503</v>
      </c>
      <c r="D57" s="12">
        <v>2311</v>
      </c>
      <c r="E57" s="12">
        <v>2185</v>
      </c>
      <c r="F57" s="12">
        <v>19622</v>
      </c>
      <c r="G57" s="12">
        <v>14552</v>
      </c>
      <c r="H57" s="34">
        <v>4119</v>
      </c>
      <c r="I57" s="30">
        <v>1038</v>
      </c>
      <c r="J57" s="35"/>
      <c r="K57" s="243">
        <f>B57+C57+D57+E57+F57+G57+H57+I57</f>
        <v>59149</v>
      </c>
      <c r="L57" s="244"/>
    </row>
    <row r="58" spans="1:12" ht="12.75">
      <c r="A58" s="45" t="s">
        <v>23</v>
      </c>
      <c r="B58" s="13">
        <f aca="true" t="shared" si="3" ref="B58:I58">B57/59149*100</f>
        <v>14.909804054168289</v>
      </c>
      <c r="C58" s="13">
        <f t="shared" si="3"/>
        <v>10.994268711220816</v>
      </c>
      <c r="D58" s="13">
        <f t="shared" si="3"/>
        <v>3.907082114659589</v>
      </c>
      <c r="E58" s="13">
        <f t="shared" si="3"/>
        <v>3.6940607618049333</v>
      </c>
      <c r="F58" s="13">
        <f t="shared" si="3"/>
        <v>33.1738490929686</v>
      </c>
      <c r="G58" s="13">
        <f t="shared" si="3"/>
        <v>24.6022756090551</v>
      </c>
      <c r="H58" s="13">
        <f t="shared" si="3"/>
        <v>6.963769463558132</v>
      </c>
      <c r="I58" s="13">
        <f t="shared" si="3"/>
        <v>1.7548901925645404</v>
      </c>
      <c r="J58" s="35"/>
      <c r="K58" s="30">
        <f>B58+C58+D58+E58+F58+G58+H58+I58</f>
        <v>100</v>
      </c>
      <c r="L58" s="13"/>
    </row>
    <row r="59" spans="1:12" ht="12.75">
      <c r="A59" s="46">
        <v>0.6</v>
      </c>
      <c r="B59" s="13">
        <f>B58*K59/100</f>
        <v>17.891764865001946</v>
      </c>
      <c r="C59" s="13">
        <f>C58*K59/100</f>
        <v>13.193122453464978</v>
      </c>
      <c r="D59" s="13">
        <f>D58*K59/100</f>
        <v>4.6884985375915065</v>
      </c>
      <c r="E59" s="13">
        <f>E58*K59/100</f>
        <v>4.4328729141659196</v>
      </c>
      <c r="F59" s="13">
        <f>F58*K59/100</f>
        <v>39.80861891156232</v>
      </c>
      <c r="G59" s="13">
        <f>G58*K59/100</f>
        <v>29.52273073086612</v>
      </c>
      <c r="H59" s="30">
        <f>H58*K59/100</f>
        <v>8.356523356269758</v>
      </c>
      <c r="I59" s="30">
        <f>I58*K59/100</f>
        <v>2.1058682310774484</v>
      </c>
      <c r="J59" s="35"/>
      <c r="K59" s="30">
        <v>120</v>
      </c>
      <c r="L59" s="13"/>
    </row>
    <row r="60" spans="1:12" ht="12.75">
      <c r="A60" s="45" t="s">
        <v>26</v>
      </c>
      <c r="B60" s="13">
        <v>75.3</v>
      </c>
      <c r="C60" s="13">
        <v>67</v>
      </c>
      <c r="D60" s="13">
        <v>59.4</v>
      </c>
      <c r="E60" s="13">
        <v>31.7</v>
      </c>
      <c r="F60" s="13">
        <v>222.3</v>
      </c>
      <c r="G60" s="13">
        <v>97.8</v>
      </c>
      <c r="H60" s="30">
        <v>33.2</v>
      </c>
      <c r="I60" s="30">
        <v>17.5</v>
      </c>
      <c r="J60" s="35"/>
      <c r="K60" s="30">
        <f>B60+C60+D60+E60+F60+G60+H60+I60</f>
        <v>604.2</v>
      </c>
      <c r="L60" s="13"/>
    </row>
    <row r="61" spans="1:12" ht="12.75">
      <c r="A61" s="45" t="s">
        <v>27</v>
      </c>
      <c r="B61" s="13">
        <f aca="true" t="shared" si="4" ref="B61:I61">B60/604.2*100</f>
        <v>12.462760675273087</v>
      </c>
      <c r="C61" s="13">
        <f t="shared" si="4"/>
        <v>11.089043363124793</v>
      </c>
      <c r="D61" s="13">
        <f t="shared" si="4"/>
        <v>9.831181727904667</v>
      </c>
      <c r="E61" s="13">
        <f t="shared" si="4"/>
        <v>5.2466070837471035</v>
      </c>
      <c r="F61" s="13">
        <f t="shared" si="4"/>
        <v>36.79245283018868</v>
      </c>
      <c r="G61" s="13">
        <f t="shared" si="4"/>
        <v>16.18669314796425</v>
      </c>
      <c r="H61" s="30">
        <f t="shared" si="4"/>
        <v>5.494869248593181</v>
      </c>
      <c r="I61" s="30">
        <f t="shared" si="4"/>
        <v>2.896391923204237</v>
      </c>
      <c r="J61" s="35"/>
      <c r="K61" s="30">
        <f>B61+C61+D61+E61+F61+G61+H61+I61</f>
        <v>99.99999999999999</v>
      </c>
      <c r="L61" s="13"/>
    </row>
    <row r="62" spans="1:12" ht="12.75">
      <c r="A62" s="46">
        <v>0.4</v>
      </c>
      <c r="B62" s="13">
        <f>B61*K62/100</f>
        <v>9.97020854021847</v>
      </c>
      <c r="C62" s="13">
        <f>C61*K62/100</f>
        <v>8.871234690499834</v>
      </c>
      <c r="D62" s="13">
        <f>D61*K62/100</f>
        <v>7.864945382323733</v>
      </c>
      <c r="E62" s="13">
        <f>E61*K62/100</f>
        <v>4.197285666997683</v>
      </c>
      <c r="F62" s="13">
        <f>F61*K62/100</f>
        <v>29.433962264150942</v>
      </c>
      <c r="G62" s="13">
        <f>G61*K62/100</f>
        <v>12.949354518371399</v>
      </c>
      <c r="H62" s="30">
        <f>H61*K62/100</f>
        <v>4.395895398874545</v>
      </c>
      <c r="I62" s="30">
        <f>I61*K62/100</f>
        <v>2.31711353856339</v>
      </c>
      <c r="J62" s="35"/>
      <c r="K62" s="30">
        <v>80</v>
      </c>
      <c r="L62" s="13"/>
    </row>
    <row r="63" spans="1:12" ht="12.75">
      <c r="A63" s="45" t="s">
        <v>29</v>
      </c>
      <c r="B63" s="13">
        <f aca="true" t="shared" si="5" ref="B63:I63">B59+B62</f>
        <v>27.861973405220418</v>
      </c>
      <c r="C63" s="13">
        <f t="shared" si="5"/>
        <v>22.064357143964813</v>
      </c>
      <c r="D63" s="13">
        <f t="shared" si="5"/>
        <v>12.553443919915239</v>
      </c>
      <c r="E63" s="13">
        <f t="shared" si="5"/>
        <v>8.630158581163602</v>
      </c>
      <c r="F63" s="13">
        <f t="shared" si="5"/>
        <v>69.24258117571327</v>
      </c>
      <c r="G63" s="13">
        <f t="shared" si="5"/>
        <v>42.472085249237516</v>
      </c>
      <c r="H63" s="30">
        <f t="shared" si="5"/>
        <v>12.752418755144303</v>
      </c>
      <c r="I63" s="30">
        <f t="shared" si="5"/>
        <v>4.422981769640838</v>
      </c>
      <c r="J63" s="35"/>
      <c r="K63" s="30">
        <f>B63+C63+D63+E63+F63+G63+H63+I63</f>
        <v>200.00000000000003</v>
      </c>
      <c r="L63" s="13"/>
    </row>
    <row r="64" spans="1:12" ht="12.75">
      <c r="A64" s="45"/>
      <c r="B64" s="13"/>
      <c r="C64" s="13"/>
      <c r="D64" s="13"/>
      <c r="E64" s="13"/>
      <c r="F64" s="13"/>
      <c r="G64" s="13"/>
      <c r="H64" s="30"/>
      <c r="I64" s="30"/>
      <c r="J64" s="35"/>
      <c r="K64" s="30"/>
      <c r="L64" s="13"/>
    </row>
    <row r="65" spans="1:20" ht="26.25" thickBot="1">
      <c r="A65" s="207" t="s">
        <v>74</v>
      </c>
      <c r="B65" s="208">
        <f aca="true" t="shared" si="6" ref="B65:I65">B63/200*100</f>
        <v>13.930986702610209</v>
      </c>
      <c r="C65" s="208">
        <f t="shared" si="6"/>
        <v>11.032178571982406</v>
      </c>
      <c r="D65" s="208">
        <f t="shared" si="6"/>
        <v>6.276721959957619</v>
      </c>
      <c r="E65" s="208">
        <f t="shared" si="6"/>
        <v>4.315079290581801</v>
      </c>
      <c r="F65" s="208">
        <f t="shared" si="6"/>
        <v>34.621290587856635</v>
      </c>
      <c r="G65" s="208">
        <f t="shared" si="6"/>
        <v>21.236042624618758</v>
      </c>
      <c r="H65" s="208">
        <f t="shared" si="6"/>
        <v>6.3762093775721524</v>
      </c>
      <c r="I65" s="208">
        <f t="shared" si="6"/>
        <v>2.211490884820419</v>
      </c>
      <c r="J65" s="59"/>
      <c r="K65" s="60">
        <f>SUM(B65:I65)</f>
        <v>100.00000000000001</v>
      </c>
      <c r="L65" s="152"/>
      <c r="M65" s="254" t="s">
        <v>72</v>
      </c>
      <c r="N65" s="255"/>
      <c r="O65" s="255"/>
      <c r="P65" s="255"/>
      <c r="Q65" s="39"/>
      <c r="R65" s="39"/>
      <c r="S65" s="40"/>
      <c r="T65" s="42"/>
    </row>
    <row r="66" spans="1:20" s="1" customFormat="1" ht="26.25" thickBot="1">
      <c r="A66" s="211" t="s">
        <v>73</v>
      </c>
      <c r="B66" s="212">
        <v>13.8</v>
      </c>
      <c r="C66" s="212">
        <v>11.1</v>
      </c>
      <c r="D66" s="212">
        <v>6.38</v>
      </c>
      <c r="E66" s="212">
        <v>4.33</v>
      </c>
      <c r="F66" s="212">
        <v>34.63</v>
      </c>
      <c r="G66" s="212">
        <v>21.18</v>
      </c>
      <c r="H66" s="213">
        <v>6.34</v>
      </c>
      <c r="I66" s="214">
        <v>2.24</v>
      </c>
      <c r="J66" s="48"/>
      <c r="K66" s="47">
        <f>B66+C66+D66+E66+F66+G66+H66+I66</f>
        <v>100.00000000000001</v>
      </c>
      <c r="L66" s="10"/>
      <c r="M66" s="250" t="s">
        <v>77</v>
      </c>
      <c r="N66" s="251"/>
      <c r="O66" s="251"/>
      <c r="P66" s="251"/>
      <c r="Q66"/>
      <c r="R66"/>
      <c r="S66" s="2"/>
      <c r="T66" s="33"/>
    </row>
    <row r="67" spans="1:12" ht="14.25" customHeight="1">
      <c r="A67" s="209" t="s">
        <v>75</v>
      </c>
      <c r="B67" s="210">
        <f aca="true" t="shared" si="7" ref="B67:I67">B65-B66</f>
        <v>0.13098670261020828</v>
      </c>
      <c r="C67" s="210">
        <f t="shared" si="7"/>
        <v>-0.06782142801759328</v>
      </c>
      <c r="D67" s="210">
        <f t="shared" si="7"/>
        <v>-0.1032780400423805</v>
      </c>
      <c r="E67" s="210">
        <f t="shared" si="7"/>
        <v>-0.014920709418198896</v>
      </c>
      <c r="F67" s="210">
        <f t="shared" si="7"/>
        <v>-0.008709412143367956</v>
      </c>
      <c r="G67" s="210">
        <f t="shared" si="7"/>
        <v>0.0560426246187582</v>
      </c>
      <c r="H67" s="210">
        <f t="shared" si="7"/>
        <v>0.03620937757215259</v>
      </c>
      <c r="I67" s="210">
        <f t="shared" si="7"/>
        <v>-0.0285091151795811</v>
      </c>
      <c r="J67" s="48"/>
      <c r="K67" s="47">
        <f>SUM(B67:I67)</f>
        <v>-2.6645352591003757E-15</v>
      </c>
      <c r="L67" s="10"/>
    </row>
    <row r="68" spans="1:16" s="1" customFormat="1" ht="29.25" customHeight="1">
      <c r="A68" s="44" t="s">
        <v>174</v>
      </c>
      <c r="B68" s="25">
        <f aca="true" t="shared" si="8" ref="B68:I68">3600*B66/100</f>
        <v>496.8</v>
      </c>
      <c r="C68" s="25">
        <f t="shared" si="8"/>
        <v>399.6</v>
      </c>
      <c r="D68" s="25">
        <f t="shared" si="8"/>
        <v>229.68</v>
      </c>
      <c r="E68" s="25">
        <f t="shared" si="8"/>
        <v>155.88</v>
      </c>
      <c r="F68" s="25">
        <f t="shared" si="8"/>
        <v>1246.68</v>
      </c>
      <c r="G68" s="25">
        <f t="shared" si="8"/>
        <v>762.48</v>
      </c>
      <c r="H68" s="25">
        <f t="shared" si="8"/>
        <v>228.24</v>
      </c>
      <c r="I68" s="25">
        <f t="shared" si="8"/>
        <v>80.64000000000001</v>
      </c>
      <c r="J68" s="37"/>
      <c r="K68" s="29">
        <v>3600</v>
      </c>
      <c r="L68" s="25"/>
      <c r="M68" s="33" t="s">
        <v>78</v>
      </c>
      <c r="N68" s="33"/>
      <c r="O68" s="33"/>
      <c r="P68" s="36"/>
    </row>
    <row r="69" spans="1:16" s="1" customFormat="1" ht="12.75">
      <c r="A69" s="22"/>
      <c r="B69" s="9"/>
      <c r="C69" s="9"/>
      <c r="D69" s="9"/>
      <c r="E69" s="9"/>
      <c r="F69" s="9"/>
      <c r="G69" s="9"/>
      <c r="H69" s="37"/>
      <c r="I69" s="37"/>
      <c r="J69" s="37"/>
      <c r="K69" s="37"/>
      <c r="L69" s="9"/>
      <c r="M69" s="36"/>
      <c r="N69" s="36"/>
      <c r="O69" s="36"/>
      <c r="P69" s="36"/>
    </row>
    <row r="70" spans="1:12" ht="38.25">
      <c r="A70" s="38" t="s">
        <v>32</v>
      </c>
      <c r="B70" s="6" t="s">
        <v>2</v>
      </c>
      <c r="C70" s="6" t="s">
        <v>3</v>
      </c>
      <c r="D70" s="6" t="s">
        <v>4</v>
      </c>
      <c r="E70" s="6" t="s">
        <v>5</v>
      </c>
      <c r="F70" s="6" t="s">
        <v>6</v>
      </c>
      <c r="G70" s="6" t="s">
        <v>7</v>
      </c>
      <c r="H70" s="27" t="s">
        <v>8</v>
      </c>
      <c r="I70" s="28" t="s">
        <v>12</v>
      </c>
      <c r="K70" s="28" t="s">
        <v>0</v>
      </c>
      <c r="L70" s="6"/>
    </row>
    <row r="71" spans="1:12" ht="12.75">
      <c r="A71" s="5" t="s">
        <v>11</v>
      </c>
      <c r="B71" s="7">
        <v>8520</v>
      </c>
      <c r="C71" s="7">
        <v>6444</v>
      </c>
      <c r="D71" s="7">
        <v>0</v>
      </c>
      <c r="E71" s="7">
        <v>2161</v>
      </c>
      <c r="F71" s="7">
        <v>19262</v>
      </c>
      <c r="G71" s="7">
        <v>14220</v>
      </c>
      <c r="H71" s="34">
        <v>4009</v>
      </c>
      <c r="I71" s="30">
        <v>1050</v>
      </c>
      <c r="J71" s="35"/>
      <c r="K71" s="243">
        <f>B71+C71+D71+E71+F71+G71+H71+I71</f>
        <v>55666</v>
      </c>
      <c r="L71" s="244"/>
    </row>
    <row r="72" spans="1:12" ht="12.75">
      <c r="A72" s="5" t="s">
        <v>23</v>
      </c>
      <c r="B72" s="8">
        <f>B71/K71*100</f>
        <v>15.305572521826608</v>
      </c>
      <c r="C72" s="8">
        <f>C71/K71*100</f>
        <v>11.576186541156181</v>
      </c>
      <c r="D72" s="8">
        <f>D71/K71*100</f>
        <v>0</v>
      </c>
      <c r="E72" s="8">
        <f>E71/K71*100</f>
        <v>3.8820824201487443</v>
      </c>
      <c r="F72" s="8">
        <f>F71/K71*100</f>
        <v>34.602809614486404</v>
      </c>
      <c r="G72" s="8">
        <f>G71/K71*100</f>
        <v>25.545216110372582</v>
      </c>
      <c r="H72" s="30">
        <f>H71/K71*100</f>
        <v>7.2018826572773325</v>
      </c>
      <c r="I72" s="30">
        <f>I71/K71*100</f>
        <v>1.8862501347321525</v>
      </c>
      <c r="J72" s="35"/>
      <c r="K72" s="30">
        <v>100</v>
      </c>
      <c r="L72" s="8"/>
    </row>
    <row r="73" spans="1:12" ht="12.75">
      <c r="A73" s="20">
        <v>0.6</v>
      </c>
      <c r="B73" s="8">
        <f>B72*K73/100</f>
        <v>18.36668702619193</v>
      </c>
      <c r="C73" s="8">
        <f>C72*K73/100</f>
        <v>13.891423849387417</v>
      </c>
      <c r="D73" s="8">
        <f>D72*K73/100</f>
        <v>0</v>
      </c>
      <c r="E73" s="8">
        <f>E72*K73/100</f>
        <v>4.658498904178494</v>
      </c>
      <c r="F73" s="8">
        <f>F72*K73/100</f>
        <v>41.52337153738368</v>
      </c>
      <c r="G73" s="8">
        <f>G72*K73/100</f>
        <v>30.6542593324471</v>
      </c>
      <c r="H73" s="30">
        <f>H72*K73/100</f>
        <v>8.6422591887328</v>
      </c>
      <c r="I73" s="30">
        <f>I72*K73/100</f>
        <v>2.263500161678583</v>
      </c>
      <c r="J73" s="35"/>
      <c r="K73" s="30">
        <v>120</v>
      </c>
      <c r="L73" s="8"/>
    </row>
    <row r="74" spans="1:12" ht="12.75">
      <c r="A74" s="5" t="s">
        <v>26</v>
      </c>
      <c r="B74" s="8">
        <v>75.3</v>
      </c>
      <c r="C74" s="8">
        <v>67</v>
      </c>
      <c r="D74" s="8">
        <v>0</v>
      </c>
      <c r="E74" s="8">
        <v>31.7</v>
      </c>
      <c r="F74" s="8">
        <v>222.3</v>
      </c>
      <c r="G74" s="8">
        <v>97.8</v>
      </c>
      <c r="H74" s="30">
        <v>33.2</v>
      </c>
      <c r="I74" s="30">
        <v>17.5</v>
      </c>
      <c r="J74" s="35"/>
      <c r="K74" s="30">
        <f>B74+C74+D74+E74+F74+G74+H74+I74</f>
        <v>544.8000000000001</v>
      </c>
      <c r="L74" s="8"/>
    </row>
    <row r="75" spans="1:12" ht="12.75">
      <c r="A75" s="5" t="s">
        <v>27</v>
      </c>
      <c r="B75" s="8">
        <f>B74/K74*100</f>
        <v>13.821585903083697</v>
      </c>
      <c r="C75" s="8">
        <f>C74/K74*100</f>
        <v>12.298091042584433</v>
      </c>
      <c r="D75" s="8">
        <f>D74/604.2*100</f>
        <v>0</v>
      </c>
      <c r="E75" s="8">
        <f>E74/K74*100</f>
        <v>5.818649045521291</v>
      </c>
      <c r="F75" s="8">
        <f>F74/K74*100</f>
        <v>40.80396475770925</v>
      </c>
      <c r="G75" s="8">
        <f>G74/K74*100</f>
        <v>17.951541850220263</v>
      </c>
      <c r="H75" s="30">
        <f>H74/K74*100</f>
        <v>6.093979441997063</v>
      </c>
      <c r="I75" s="30">
        <f>I74/K74*100</f>
        <v>3.212187958883993</v>
      </c>
      <c r="J75" s="35"/>
      <c r="K75" s="30">
        <v>100</v>
      </c>
      <c r="L75" s="8"/>
    </row>
    <row r="76" spans="1:12" ht="12.75">
      <c r="A76" s="20">
        <v>0.4</v>
      </c>
      <c r="B76" s="8">
        <f>B75*K76/100</f>
        <v>11.057268722466958</v>
      </c>
      <c r="C76" s="8">
        <f>C75*K76/100</f>
        <v>9.838472834067547</v>
      </c>
      <c r="D76" s="8">
        <f>D75*K76/100</f>
        <v>0</v>
      </c>
      <c r="E76" s="8">
        <f>E75*K76/100</f>
        <v>4.654919236417033</v>
      </c>
      <c r="F76" s="8">
        <f>F75*K76/100</f>
        <v>32.6431718061674</v>
      </c>
      <c r="G76" s="8">
        <f>G75*K76/100</f>
        <v>14.36123348017621</v>
      </c>
      <c r="H76" s="30">
        <f>H75*K76/100</f>
        <v>4.87518355359765</v>
      </c>
      <c r="I76" s="30">
        <f>I75*K76/100</f>
        <v>2.5697503671071944</v>
      </c>
      <c r="J76" s="35"/>
      <c r="K76" s="30">
        <v>80</v>
      </c>
      <c r="L76" s="8"/>
    </row>
    <row r="77" spans="1:12" ht="12.75">
      <c r="A77" s="5" t="s">
        <v>29</v>
      </c>
      <c r="B77" s="8">
        <f aca="true" t="shared" si="9" ref="B77:I77">B73+B76</f>
        <v>29.423955748658887</v>
      </c>
      <c r="C77" s="8">
        <f t="shared" si="9"/>
        <v>23.729896683454964</v>
      </c>
      <c r="D77" s="8">
        <f t="shared" si="9"/>
        <v>0</v>
      </c>
      <c r="E77" s="8">
        <f t="shared" si="9"/>
        <v>9.313418140595527</v>
      </c>
      <c r="F77" s="8">
        <f t="shared" si="9"/>
        <v>74.16654334355108</v>
      </c>
      <c r="G77" s="8">
        <f t="shared" si="9"/>
        <v>45.01549281262331</v>
      </c>
      <c r="H77" s="30">
        <f t="shared" si="9"/>
        <v>13.517442742330449</v>
      </c>
      <c r="I77" s="30">
        <f t="shared" si="9"/>
        <v>4.833250528785777</v>
      </c>
      <c r="J77" s="35"/>
      <c r="K77" s="30">
        <f>B77+C77+D77+E77+F77+G77+H77+I77</f>
        <v>200</v>
      </c>
      <c r="L77" s="8"/>
    </row>
    <row r="78" spans="1:12" ht="8.25" customHeight="1">
      <c r="A78" s="5"/>
      <c r="B78" s="8"/>
      <c r="C78" s="8"/>
      <c r="D78" s="8"/>
      <c r="E78" s="8"/>
      <c r="F78" s="8"/>
      <c r="G78" s="8"/>
      <c r="H78" s="30"/>
      <c r="I78" s="30"/>
      <c r="J78" s="35"/>
      <c r="K78" s="30"/>
      <c r="L78" s="8"/>
    </row>
    <row r="79" spans="1:12" ht="25.5">
      <c r="A79" s="12" t="s">
        <v>37</v>
      </c>
      <c r="B79" s="13">
        <f>B77/K77*100</f>
        <v>14.711977874329444</v>
      </c>
      <c r="C79" s="13">
        <f aca="true" t="shared" si="10" ref="C79:I79">C77/200*100</f>
        <v>11.864948341727482</v>
      </c>
      <c r="D79" s="13">
        <f t="shared" si="10"/>
        <v>0</v>
      </c>
      <c r="E79" s="13">
        <f t="shared" si="10"/>
        <v>4.656709070297763</v>
      </c>
      <c r="F79" s="13">
        <f t="shared" si="10"/>
        <v>37.08327167177554</v>
      </c>
      <c r="G79" s="13">
        <f t="shared" si="10"/>
        <v>22.507746406311654</v>
      </c>
      <c r="H79" s="30">
        <f t="shared" si="10"/>
        <v>6.758721371165224</v>
      </c>
      <c r="I79" s="30">
        <f t="shared" si="10"/>
        <v>2.4166252643928887</v>
      </c>
      <c r="J79" s="35"/>
      <c r="K79" s="30">
        <f>B79+C79+D79+E79+F79+G79+H79+I79</f>
        <v>100</v>
      </c>
      <c r="L79" s="13"/>
    </row>
    <row r="81" spans="1:10" ht="12.75">
      <c r="A81" s="21" t="s">
        <v>77</v>
      </c>
      <c r="J81" s="33" t="s">
        <v>78</v>
      </c>
    </row>
    <row r="82" spans="1:10" ht="12.75">
      <c r="A82" s="61" t="s">
        <v>72</v>
      </c>
      <c r="B82" s="61"/>
      <c r="C82" s="61"/>
      <c r="D82" s="61"/>
      <c r="E82" s="61"/>
      <c r="F82" s="61"/>
      <c r="G82" s="62"/>
      <c r="H82" s="62"/>
      <c r="I82" s="63"/>
      <c r="J82" s="63"/>
    </row>
  </sheetData>
  <sheetProtection/>
  <mergeCells count="39">
    <mergeCell ref="C22:F22"/>
    <mergeCell ref="C30:F30"/>
    <mergeCell ref="C41:F41"/>
    <mergeCell ref="C32:F32"/>
    <mergeCell ref="C40:F40"/>
    <mergeCell ref="C38:F38"/>
    <mergeCell ref="K71:L71"/>
    <mergeCell ref="C28:F28"/>
    <mergeCell ref="C29:F29"/>
    <mergeCell ref="C45:E45"/>
    <mergeCell ref="C47:F47"/>
    <mergeCell ref="C26:F26"/>
    <mergeCell ref="M66:P66"/>
    <mergeCell ref="C27:F27"/>
    <mergeCell ref="C49:F49"/>
    <mergeCell ref="C52:F52"/>
    <mergeCell ref="M65:P65"/>
    <mergeCell ref="C48:F48"/>
    <mergeCell ref="C51:F51"/>
    <mergeCell ref="C18:F18"/>
    <mergeCell ref="C20:E20"/>
    <mergeCell ref="E21:F21"/>
    <mergeCell ref="C25:F25"/>
    <mergeCell ref="K57:L57"/>
    <mergeCell ref="C50:D50"/>
    <mergeCell ref="C33:F33"/>
    <mergeCell ref="C53:F53"/>
    <mergeCell ref="C34:F34"/>
    <mergeCell ref="C23:F23"/>
    <mergeCell ref="C3:F3"/>
    <mergeCell ref="C4:F4"/>
    <mergeCell ref="C5:F5"/>
    <mergeCell ref="C6:F6"/>
    <mergeCell ref="C7:F7"/>
    <mergeCell ref="D13:F13"/>
    <mergeCell ref="C9:F9"/>
    <mergeCell ref="C8:F8"/>
    <mergeCell ref="C10:F10"/>
    <mergeCell ref="C11:F11"/>
  </mergeCells>
  <printOptions/>
  <pageMargins left="0.31" right="0.45" top="0.17" bottom="0.32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39.8515625" style="0" customWidth="1"/>
    <col min="3" max="3" width="14.8515625" style="0" customWidth="1"/>
    <col min="4" max="11" width="10.00390625" style="0" customWidth="1"/>
    <col min="12" max="12" width="14.421875" style="0" customWidth="1"/>
    <col min="14" max="14" width="9.140625" style="203" customWidth="1"/>
  </cols>
  <sheetData>
    <row r="1" spans="3:11" ht="38.25">
      <c r="C1" s="89" t="s">
        <v>34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7</v>
      </c>
      <c r="J1" s="44" t="s">
        <v>8</v>
      </c>
      <c r="K1" s="24" t="s">
        <v>12</v>
      </c>
    </row>
    <row r="2" spans="3:11" ht="12.75">
      <c r="C2" s="66"/>
      <c r="D2" s="13"/>
      <c r="E2" s="13"/>
      <c r="F2" s="13"/>
      <c r="G2" s="13"/>
      <c r="H2" s="13"/>
      <c r="I2" s="13"/>
      <c r="J2" s="13"/>
      <c r="K2" s="13"/>
    </row>
    <row r="3" spans="3:11" ht="12.75">
      <c r="C3" s="66"/>
      <c r="D3" s="262" t="s">
        <v>124</v>
      </c>
      <c r="E3" s="263"/>
      <c r="F3" s="263"/>
      <c r="G3" s="263"/>
      <c r="H3" s="263"/>
      <c r="I3" s="263"/>
      <c r="J3" s="263"/>
      <c r="K3" s="263"/>
    </row>
    <row r="4" spans="3:11" ht="33" customHeight="1">
      <c r="C4" s="68" t="s">
        <v>121</v>
      </c>
      <c r="D4" s="10">
        <v>13.8</v>
      </c>
      <c r="E4" s="10">
        <v>11.1</v>
      </c>
      <c r="F4" s="10">
        <v>6.38</v>
      </c>
      <c r="G4" s="10">
        <v>4.33</v>
      </c>
      <c r="H4" s="10">
        <v>34.63</v>
      </c>
      <c r="I4" s="10">
        <v>21.18</v>
      </c>
      <c r="J4" s="10">
        <v>6.34</v>
      </c>
      <c r="K4" s="10">
        <v>2.24</v>
      </c>
    </row>
    <row r="5" spans="1:11" ht="12.75">
      <c r="A5" s="84">
        <v>400000</v>
      </c>
      <c r="B5" s="23" t="s">
        <v>95</v>
      </c>
      <c r="C5" s="25">
        <f>'zaposleni - konti'!L8</f>
        <v>148733.57</v>
      </c>
      <c r="D5" s="25">
        <f>C5*13.8/100</f>
        <v>20525.23266</v>
      </c>
      <c r="E5" s="25">
        <f>C5*11.1/100</f>
        <v>16509.42627</v>
      </c>
      <c r="F5" s="25">
        <f>C5*6.38/100</f>
        <v>9489.201766</v>
      </c>
      <c r="G5" s="25">
        <f>C5*4.33/100</f>
        <v>6440.163581000001</v>
      </c>
      <c r="H5" s="25">
        <f>C5*34.63/100</f>
        <v>51506.43529100001</v>
      </c>
      <c r="I5" s="25">
        <f>C5*21.18/100</f>
        <v>31501.770126</v>
      </c>
      <c r="J5" s="25">
        <f>C5*6.34/100</f>
        <v>9429.708338</v>
      </c>
      <c r="K5" s="25">
        <f>C5*2.24/100</f>
        <v>3331.631968</v>
      </c>
    </row>
    <row r="6" spans="1:11" ht="12.75">
      <c r="A6" s="84">
        <v>400001</v>
      </c>
      <c r="B6" s="23" t="s">
        <v>96</v>
      </c>
      <c r="C6" s="25">
        <f>'zaposleni - konti'!L9</f>
        <v>11573.370000000003</v>
      </c>
      <c r="D6" s="25">
        <f aca="true" t="shared" si="0" ref="D6:D24">C6*13.8/100</f>
        <v>1597.1250600000005</v>
      </c>
      <c r="E6" s="25">
        <f aca="true" t="shared" si="1" ref="E6:E24">C6*11.1/100</f>
        <v>1284.6440700000003</v>
      </c>
      <c r="F6" s="25">
        <f aca="true" t="shared" si="2" ref="F6:F24">C6*6.38/100</f>
        <v>738.3810060000002</v>
      </c>
      <c r="G6" s="25">
        <f aca="true" t="shared" si="3" ref="G6:G24">C6*4.33/100</f>
        <v>501.12692100000015</v>
      </c>
      <c r="H6" s="25">
        <f aca="true" t="shared" si="4" ref="H6:H24">C6*34.63/100</f>
        <v>4007.8580310000016</v>
      </c>
      <c r="I6" s="25">
        <f aca="true" t="shared" si="5" ref="I6:I24">C6*21.18/100</f>
        <v>2451.2397660000006</v>
      </c>
      <c r="J6" s="25">
        <f aca="true" t="shared" si="6" ref="J6:J24">C6*6.34/100</f>
        <v>733.7516580000001</v>
      </c>
      <c r="K6" s="25">
        <f aca="true" t="shared" si="7" ref="K6:K24">C6*2.24/100</f>
        <v>259.24348800000007</v>
      </c>
    </row>
    <row r="7" spans="1:11" ht="12.75">
      <c r="A7" s="84">
        <v>400002</v>
      </c>
      <c r="B7" s="23" t="s">
        <v>97</v>
      </c>
      <c r="C7" s="25">
        <f>'zaposleni - konti'!L10</f>
        <v>1291</v>
      </c>
      <c r="D7" s="25">
        <f t="shared" si="0"/>
        <v>178.158</v>
      </c>
      <c r="E7" s="25">
        <f t="shared" si="1"/>
        <v>143.30100000000002</v>
      </c>
      <c r="F7" s="25">
        <f t="shared" si="2"/>
        <v>82.3658</v>
      </c>
      <c r="G7" s="25">
        <f t="shared" si="3"/>
        <v>55.900299999999994</v>
      </c>
      <c r="H7" s="25">
        <f t="shared" si="4"/>
        <v>447.0733</v>
      </c>
      <c r="I7" s="25">
        <f t="shared" si="5"/>
        <v>273.4338</v>
      </c>
      <c r="J7" s="25">
        <f t="shared" si="6"/>
        <v>81.8494</v>
      </c>
      <c r="K7" s="25">
        <f t="shared" si="7"/>
        <v>28.918400000000002</v>
      </c>
    </row>
    <row r="8" spans="1:11" ht="12.75">
      <c r="A8" s="84">
        <v>400003</v>
      </c>
      <c r="B8" s="23" t="s">
        <v>98</v>
      </c>
      <c r="C8" s="25">
        <f>'zaposleni - konti'!L11</f>
        <v>1730.56</v>
      </c>
      <c r="D8" s="25">
        <f t="shared" si="0"/>
        <v>238.81727999999998</v>
      </c>
      <c r="E8" s="25">
        <f t="shared" si="1"/>
        <v>192.09216</v>
      </c>
      <c r="F8" s="25">
        <f t="shared" si="2"/>
        <v>110.409728</v>
      </c>
      <c r="G8" s="25">
        <f t="shared" si="3"/>
        <v>74.933248</v>
      </c>
      <c r="H8" s="25">
        <f t="shared" si="4"/>
        <v>599.2929280000001</v>
      </c>
      <c r="I8" s="25">
        <f t="shared" si="5"/>
        <v>366.532608</v>
      </c>
      <c r="J8" s="25">
        <f t="shared" si="6"/>
        <v>109.71750399999999</v>
      </c>
      <c r="K8" s="25">
        <f t="shared" si="7"/>
        <v>38.764544</v>
      </c>
    </row>
    <row r="9" spans="1:11" ht="12.75">
      <c r="A9" s="84">
        <v>400100</v>
      </c>
      <c r="B9" s="23" t="s">
        <v>99</v>
      </c>
      <c r="C9" s="25">
        <f>'zaposleni - konti'!L12</f>
        <v>5688.83</v>
      </c>
      <c r="D9" s="25">
        <f t="shared" si="0"/>
        <v>785.0585400000001</v>
      </c>
      <c r="E9" s="25">
        <f t="shared" si="1"/>
        <v>631.4601299999999</v>
      </c>
      <c r="F9" s="25">
        <f t="shared" si="2"/>
        <v>362.94735399999996</v>
      </c>
      <c r="G9" s="25">
        <f t="shared" si="3"/>
        <v>246.32633900000002</v>
      </c>
      <c r="H9" s="25">
        <f t="shared" si="4"/>
        <v>1970.0418290000002</v>
      </c>
      <c r="I9" s="25">
        <f t="shared" si="5"/>
        <v>1204.894194</v>
      </c>
      <c r="J9" s="25">
        <f t="shared" si="6"/>
        <v>360.67182199999996</v>
      </c>
      <c r="K9" s="25">
        <f t="shared" si="7"/>
        <v>127.42979200000002</v>
      </c>
    </row>
    <row r="10" spans="1:11" ht="12.75">
      <c r="A10" s="84">
        <v>400202</v>
      </c>
      <c r="B10" s="23" t="s">
        <v>100</v>
      </c>
      <c r="C10" s="25">
        <f>'zaposleni - konti'!L13</f>
        <v>6208</v>
      </c>
      <c r="D10" s="25">
        <f t="shared" si="0"/>
        <v>856.7040000000001</v>
      </c>
      <c r="E10" s="25">
        <f t="shared" si="1"/>
        <v>689.0880000000001</v>
      </c>
      <c r="F10" s="25">
        <f t="shared" si="2"/>
        <v>396.0704</v>
      </c>
      <c r="G10" s="25">
        <f t="shared" si="3"/>
        <v>268.8064</v>
      </c>
      <c r="H10" s="25">
        <f t="shared" si="4"/>
        <v>2149.8304000000003</v>
      </c>
      <c r="I10" s="25">
        <f t="shared" si="5"/>
        <v>1314.8544</v>
      </c>
      <c r="J10" s="25">
        <f t="shared" si="6"/>
        <v>393.5872</v>
      </c>
      <c r="K10" s="25">
        <f t="shared" si="7"/>
        <v>139.05920000000003</v>
      </c>
    </row>
    <row r="11" spans="1:11" ht="12.75">
      <c r="A11" s="84">
        <v>400203</v>
      </c>
      <c r="B11" s="23" t="s">
        <v>101</v>
      </c>
      <c r="C11" s="25">
        <f>'zaposleni - konti'!L14</f>
        <v>5799.2</v>
      </c>
      <c r="D11" s="25">
        <f t="shared" si="0"/>
        <v>800.2896000000001</v>
      </c>
      <c r="E11" s="25">
        <f t="shared" si="1"/>
        <v>643.7112</v>
      </c>
      <c r="F11" s="25">
        <f t="shared" si="2"/>
        <v>369.98896</v>
      </c>
      <c r="G11" s="25">
        <f t="shared" si="3"/>
        <v>251.10536</v>
      </c>
      <c r="H11" s="25">
        <f t="shared" si="4"/>
        <v>2008.26296</v>
      </c>
      <c r="I11" s="25">
        <f t="shared" si="5"/>
        <v>1228.27056</v>
      </c>
      <c r="J11" s="25">
        <f t="shared" si="6"/>
        <v>367.66928</v>
      </c>
      <c r="K11" s="25">
        <f t="shared" si="7"/>
        <v>129.90208</v>
      </c>
    </row>
    <row r="12" spans="1:11" ht="12.75">
      <c r="A12" s="84">
        <v>400302</v>
      </c>
      <c r="B12" s="23" t="s">
        <v>102</v>
      </c>
      <c r="C12" s="25">
        <f>'zaposleni - konti'!L15</f>
        <v>0</v>
      </c>
      <c r="D12" s="25">
        <f t="shared" si="0"/>
        <v>0</v>
      </c>
      <c r="E12" s="25">
        <f t="shared" si="1"/>
        <v>0</v>
      </c>
      <c r="F12" s="25">
        <f t="shared" si="2"/>
        <v>0</v>
      </c>
      <c r="G12" s="25">
        <f t="shared" si="3"/>
        <v>0</v>
      </c>
      <c r="H12" s="25">
        <f t="shared" si="4"/>
        <v>0</v>
      </c>
      <c r="I12" s="25">
        <f t="shared" si="5"/>
        <v>0</v>
      </c>
      <c r="J12" s="25">
        <f t="shared" si="6"/>
        <v>0</v>
      </c>
      <c r="K12" s="25">
        <f t="shared" si="7"/>
        <v>0</v>
      </c>
    </row>
    <row r="13" spans="1:11" ht="12.75">
      <c r="A13" s="84">
        <v>400400</v>
      </c>
      <c r="B13" s="23" t="s">
        <v>62</v>
      </c>
      <c r="C13" s="25">
        <f>'zaposleni - konti'!L16</f>
        <v>1722.65</v>
      </c>
      <c r="D13" s="25">
        <f t="shared" si="0"/>
        <v>237.72570000000005</v>
      </c>
      <c r="E13" s="25">
        <f t="shared" si="1"/>
        <v>191.21415000000002</v>
      </c>
      <c r="F13" s="25">
        <f t="shared" si="2"/>
        <v>109.90507</v>
      </c>
      <c r="G13" s="25">
        <f t="shared" si="3"/>
        <v>74.59074500000001</v>
      </c>
      <c r="H13" s="25">
        <f t="shared" si="4"/>
        <v>596.5536950000001</v>
      </c>
      <c r="I13" s="25">
        <f t="shared" si="5"/>
        <v>364.85726999999997</v>
      </c>
      <c r="J13" s="25">
        <f t="shared" si="6"/>
        <v>109.21601000000001</v>
      </c>
      <c r="K13" s="25">
        <f t="shared" si="7"/>
        <v>38.58736000000001</v>
      </c>
    </row>
    <row r="14" spans="1:11" ht="12.75">
      <c r="A14" s="23">
        <v>400900</v>
      </c>
      <c r="B14" s="87" t="s">
        <v>122</v>
      </c>
      <c r="C14" s="88">
        <f>'zaposleni - konti'!L28</f>
        <v>577.52</v>
      </c>
      <c r="D14" s="25">
        <f>C14*13.8/100</f>
        <v>79.69776</v>
      </c>
      <c r="E14" s="25">
        <f>C14*11.1/100</f>
        <v>64.10472</v>
      </c>
      <c r="F14" s="25">
        <f>C14*6.38/100</f>
        <v>36.845775999999994</v>
      </c>
      <c r="G14" s="25">
        <f>C14*4.33/100</f>
        <v>25.006615999999998</v>
      </c>
      <c r="H14" s="25">
        <f>C14*34.63/100</f>
        <v>199.995176</v>
      </c>
      <c r="I14" s="25">
        <f>C14*21.18/100</f>
        <v>122.31873599999999</v>
      </c>
      <c r="J14" s="25">
        <f>C14*6.34/100</f>
        <v>36.614768</v>
      </c>
      <c r="K14" s="25">
        <f>C14*2.24/100</f>
        <v>12.936448</v>
      </c>
    </row>
    <row r="15" spans="1:11" ht="12.75">
      <c r="A15" s="23">
        <v>400902</v>
      </c>
      <c r="B15" s="87" t="s">
        <v>123</v>
      </c>
      <c r="C15" s="88">
        <f>'zaposleni - konti'!L29</f>
        <v>693.01</v>
      </c>
      <c r="D15" s="25">
        <f>C15*13.8/100</f>
        <v>95.63538</v>
      </c>
      <c r="E15" s="25">
        <f>C15*11.1/100</f>
        <v>76.92411</v>
      </c>
      <c r="F15" s="25">
        <f>C15*6.38/100</f>
        <v>44.214038</v>
      </c>
      <c r="G15" s="25">
        <f>C15*4.33/100</f>
        <v>30.007333</v>
      </c>
      <c r="H15" s="25">
        <f>C15*34.63/100</f>
        <v>239.98936300000003</v>
      </c>
      <c r="I15" s="25">
        <f>C15*21.18/100</f>
        <v>146.779518</v>
      </c>
      <c r="J15" s="25">
        <f>C15*6.34/100</f>
        <v>43.936834</v>
      </c>
      <c r="K15" s="25">
        <f>C15*2.24/100</f>
        <v>15.523424000000002</v>
      </c>
    </row>
    <row r="16" spans="1:11" ht="12.75">
      <c r="A16" s="84">
        <v>401001</v>
      </c>
      <c r="B16" s="23" t="s">
        <v>103</v>
      </c>
      <c r="C16" s="25">
        <f>'zaposleni - konti'!L17</f>
        <v>14607.04</v>
      </c>
      <c r="D16" s="25">
        <f t="shared" si="0"/>
        <v>2015.7715200000002</v>
      </c>
      <c r="E16" s="25">
        <f t="shared" si="1"/>
        <v>1621.38144</v>
      </c>
      <c r="F16" s="25">
        <f t="shared" si="2"/>
        <v>931.929152</v>
      </c>
      <c r="G16" s="25">
        <f t="shared" si="3"/>
        <v>632.484832</v>
      </c>
      <c r="H16" s="25">
        <f t="shared" si="4"/>
        <v>5058.417952000001</v>
      </c>
      <c r="I16" s="25">
        <f t="shared" si="5"/>
        <v>3093.7710720000005</v>
      </c>
      <c r="J16" s="25">
        <f t="shared" si="6"/>
        <v>926.086336</v>
      </c>
      <c r="K16" s="25">
        <f t="shared" si="7"/>
        <v>327.197696</v>
      </c>
    </row>
    <row r="17" spans="1:11" ht="12.75">
      <c r="A17" s="84">
        <v>401100</v>
      </c>
      <c r="B17" s="23" t="s">
        <v>104</v>
      </c>
      <c r="C17" s="25">
        <f>'zaposleni - konti'!L18</f>
        <v>10827.36</v>
      </c>
      <c r="D17" s="25">
        <f t="shared" si="0"/>
        <v>1494.1756800000003</v>
      </c>
      <c r="E17" s="25">
        <f t="shared" si="1"/>
        <v>1201.8369599999999</v>
      </c>
      <c r="F17" s="25">
        <f t="shared" si="2"/>
        <v>690.785568</v>
      </c>
      <c r="G17" s="25">
        <f t="shared" si="3"/>
        <v>468.82468800000004</v>
      </c>
      <c r="H17" s="25">
        <f t="shared" si="4"/>
        <v>3749.5147680000005</v>
      </c>
      <c r="I17" s="25">
        <f t="shared" si="5"/>
        <v>2293.234848</v>
      </c>
      <c r="J17" s="25">
        <f t="shared" si="6"/>
        <v>686.4546240000001</v>
      </c>
      <c r="K17" s="25">
        <f t="shared" si="7"/>
        <v>242.53286400000005</v>
      </c>
    </row>
    <row r="18" spans="1:11" ht="12.75">
      <c r="A18" s="84">
        <v>401101</v>
      </c>
      <c r="B18" s="23" t="s">
        <v>105</v>
      </c>
      <c r="C18" s="25">
        <f>'zaposleni - konti'!L19</f>
        <v>874.77</v>
      </c>
      <c r="D18" s="25">
        <f t="shared" si="0"/>
        <v>120.71826000000001</v>
      </c>
      <c r="E18" s="25">
        <f t="shared" si="1"/>
        <v>97.09947</v>
      </c>
      <c r="F18" s="25">
        <f t="shared" si="2"/>
        <v>55.810325999999996</v>
      </c>
      <c r="G18" s="25">
        <f t="shared" si="3"/>
        <v>37.877541</v>
      </c>
      <c r="H18" s="25">
        <f t="shared" si="4"/>
        <v>302.932851</v>
      </c>
      <c r="I18" s="25">
        <f t="shared" si="5"/>
        <v>185.276286</v>
      </c>
      <c r="J18" s="25">
        <f t="shared" si="6"/>
        <v>55.460418</v>
      </c>
      <c r="K18" s="25">
        <f t="shared" si="7"/>
        <v>19.594848000000002</v>
      </c>
    </row>
    <row r="19" spans="1:11" ht="12.75">
      <c r="A19" s="84">
        <v>401200</v>
      </c>
      <c r="B19" s="23" t="s">
        <v>106</v>
      </c>
      <c r="C19" s="25">
        <f>'zaposleni - konti'!L20</f>
        <v>99.04</v>
      </c>
      <c r="D19" s="25">
        <f t="shared" si="0"/>
        <v>13.667520000000001</v>
      </c>
      <c r="E19" s="25">
        <f t="shared" si="1"/>
        <v>10.99344</v>
      </c>
      <c r="F19" s="25">
        <f t="shared" si="2"/>
        <v>6.318752000000001</v>
      </c>
      <c r="G19" s="25">
        <f t="shared" si="3"/>
        <v>4.288432</v>
      </c>
      <c r="H19" s="25">
        <f t="shared" si="4"/>
        <v>34.297552</v>
      </c>
      <c r="I19" s="25">
        <f t="shared" si="5"/>
        <v>20.976672000000004</v>
      </c>
      <c r="J19" s="25">
        <f t="shared" si="6"/>
        <v>6.279135999999999</v>
      </c>
      <c r="K19" s="25">
        <f t="shared" si="7"/>
        <v>2.2184960000000005</v>
      </c>
    </row>
    <row r="20" spans="1:11" ht="12.75">
      <c r="A20" s="84">
        <v>401300</v>
      </c>
      <c r="B20" s="23" t="s">
        <v>107</v>
      </c>
      <c r="C20" s="25">
        <f>'zaposleni - konti'!L21</f>
        <v>165.05</v>
      </c>
      <c r="D20" s="25">
        <f t="shared" si="0"/>
        <v>22.7769</v>
      </c>
      <c r="E20" s="25">
        <f t="shared" si="1"/>
        <v>18.32055</v>
      </c>
      <c r="F20" s="25">
        <f t="shared" si="2"/>
        <v>10.53019</v>
      </c>
      <c r="G20" s="25">
        <f t="shared" si="3"/>
        <v>7.1466650000000005</v>
      </c>
      <c r="H20" s="25">
        <f t="shared" si="4"/>
        <v>57.15681500000001</v>
      </c>
      <c r="I20" s="25">
        <f t="shared" si="5"/>
        <v>34.95759</v>
      </c>
      <c r="J20" s="25">
        <f t="shared" si="6"/>
        <v>10.464170000000001</v>
      </c>
      <c r="K20" s="25">
        <f t="shared" si="7"/>
        <v>3.6971200000000004</v>
      </c>
    </row>
    <row r="21" spans="1:11" ht="12.75">
      <c r="A21" s="84">
        <v>401500</v>
      </c>
      <c r="B21" s="23" t="s">
        <v>108</v>
      </c>
      <c r="C21" s="25">
        <f>'zaposleni - konti'!L22</f>
        <v>2609.2799999999997</v>
      </c>
      <c r="D21" s="25">
        <f t="shared" si="0"/>
        <v>360.08063999999996</v>
      </c>
      <c r="E21" s="25">
        <f t="shared" si="1"/>
        <v>289.63007999999996</v>
      </c>
      <c r="F21" s="25">
        <f t="shared" si="2"/>
        <v>166.472064</v>
      </c>
      <c r="G21" s="25">
        <f t="shared" si="3"/>
        <v>112.981824</v>
      </c>
      <c r="H21" s="25">
        <f t="shared" si="4"/>
        <v>903.593664</v>
      </c>
      <c r="I21" s="25">
        <f t="shared" si="5"/>
        <v>552.645504</v>
      </c>
      <c r="J21" s="25">
        <f t="shared" si="6"/>
        <v>165.428352</v>
      </c>
      <c r="K21" s="25">
        <f t="shared" si="7"/>
        <v>58.447872</v>
      </c>
    </row>
    <row r="22" spans="1:11" ht="12.75">
      <c r="A22" s="84">
        <v>402400</v>
      </c>
      <c r="B22" s="23" t="s">
        <v>109</v>
      </c>
      <c r="C22" s="25">
        <f>'zaposleni - konti'!L23</f>
        <v>200</v>
      </c>
      <c r="D22" s="25">
        <f t="shared" si="0"/>
        <v>27.6</v>
      </c>
      <c r="E22" s="25">
        <f t="shared" si="1"/>
        <v>22.2</v>
      </c>
      <c r="F22" s="25">
        <f t="shared" si="2"/>
        <v>12.76</v>
      </c>
      <c r="G22" s="25">
        <f t="shared" si="3"/>
        <v>8.66</v>
      </c>
      <c r="H22" s="25">
        <f t="shared" si="4"/>
        <v>69.26</v>
      </c>
      <c r="I22" s="25">
        <f t="shared" si="5"/>
        <v>42.36</v>
      </c>
      <c r="J22" s="25">
        <f t="shared" si="6"/>
        <v>12.68</v>
      </c>
      <c r="K22" s="25">
        <f t="shared" si="7"/>
        <v>4.48</v>
      </c>
    </row>
    <row r="23" spans="1:11" ht="12.75">
      <c r="A23" s="84">
        <v>402402</v>
      </c>
      <c r="B23" s="23" t="s">
        <v>110</v>
      </c>
      <c r="C23" s="25">
        <f>'zaposleni - konti'!L24</f>
        <v>1199.75</v>
      </c>
      <c r="D23" s="25">
        <f t="shared" si="0"/>
        <v>165.5655</v>
      </c>
      <c r="E23" s="25">
        <f t="shared" si="1"/>
        <v>133.17225</v>
      </c>
      <c r="F23" s="25">
        <f t="shared" si="2"/>
        <v>76.54405</v>
      </c>
      <c r="G23" s="25">
        <f t="shared" si="3"/>
        <v>51.949175000000004</v>
      </c>
      <c r="H23" s="25">
        <f t="shared" si="4"/>
        <v>415.4734250000001</v>
      </c>
      <c r="I23" s="25">
        <f t="shared" si="5"/>
        <v>254.10705</v>
      </c>
      <c r="J23" s="25">
        <f t="shared" si="6"/>
        <v>76.06415</v>
      </c>
      <c r="K23" s="25">
        <f t="shared" si="7"/>
        <v>26.8744</v>
      </c>
    </row>
    <row r="24" spans="1:11" ht="12.75">
      <c r="A24" s="23">
        <v>402940</v>
      </c>
      <c r="B24" s="87" t="s">
        <v>111</v>
      </c>
      <c r="C24" s="88">
        <f>'zaposleni - konti'!L27</f>
        <v>1400</v>
      </c>
      <c r="D24" s="25">
        <f t="shared" si="0"/>
        <v>193.2</v>
      </c>
      <c r="E24" s="25">
        <f t="shared" si="1"/>
        <v>155.4</v>
      </c>
      <c r="F24" s="25">
        <f t="shared" si="2"/>
        <v>89.32</v>
      </c>
      <c r="G24" s="25">
        <f t="shared" si="3"/>
        <v>60.62</v>
      </c>
      <c r="H24" s="25">
        <f t="shared" si="4"/>
        <v>484.82</v>
      </c>
      <c r="I24" s="25">
        <f t="shared" si="5"/>
        <v>296.52</v>
      </c>
      <c r="J24" s="25">
        <f t="shared" si="6"/>
        <v>88.76</v>
      </c>
      <c r="K24" s="25">
        <f t="shared" si="7"/>
        <v>31.360000000000003</v>
      </c>
    </row>
    <row r="25" spans="1:15" s="85" customFormat="1" ht="14.25">
      <c r="A25" s="23"/>
      <c r="B25" s="87" t="s">
        <v>0</v>
      </c>
      <c r="C25" s="88">
        <f aca="true" t="shared" si="8" ref="C25:K25">SUM(C5:C24)</f>
        <v>215999.99999999997</v>
      </c>
      <c r="D25" s="88">
        <f t="shared" si="8"/>
        <v>29808.000000000007</v>
      </c>
      <c r="E25" s="88">
        <f t="shared" si="8"/>
        <v>23976</v>
      </c>
      <c r="F25" s="88">
        <f t="shared" si="8"/>
        <v>13780.800000000001</v>
      </c>
      <c r="G25" s="88">
        <f t="shared" si="8"/>
        <v>9352.800000000001</v>
      </c>
      <c r="H25" s="88">
        <f t="shared" si="8"/>
        <v>74800.80000000002</v>
      </c>
      <c r="I25" s="88">
        <f t="shared" si="8"/>
        <v>45748.799999999996</v>
      </c>
      <c r="J25" s="88">
        <f t="shared" si="8"/>
        <v>13694.400000000001</v>
      </c>
      <c r="K25" s="88">
        <f t="shared" si="8"/>
        <v>4838.399999999999</v>
      </c>
      <c r="L25" s="86"/>
      <c r="M25" s="21" t="s">
        <v>176</v>
      </c>
      <c r="N25"/>
      <c r="O25" s="85" t="s">
        <v>175</v>
      </c>
    </row>
    <row r="26" ht="12.75">
      <c r="N26"/>
    </row>
    <row r="27" spans="1:16" ht="39">
      <c r="A27" s="261" t="s">
        <v>41</v>
      </c>
      <c r="B27" s="261"/>
      <c r="C27" s="67" t="s">
        <v>0</v>
      </c>
      <c r="D27" s="41" t="s">
        <v>2</v>
      </c>
      <c r="E27" s="41" t="s">
        <v>3</v>
      </c>
      <c r="F27" s="41" t="s">
        <v>4</v>
      </c>
      <c r="G27" s="41" t="s">
        <v>5</v>
      </c>
      <c r="H27" s="41" t="s">
        <v>6</v>
      </c>
      <c r="I27" s="41" t="s">
        <v>24</v>
      </c>
      <c r="J27" s="41" t="s">
        <v>8</v>
      </c>
      <c r="K27" s="41" t="s">
        <v>12</v>
      </c>
      <c r="M27" s="203">
        <f>D25</f>
        <v>29808.000000000007</v>
      </c>
      <c r="N27" s="21" t="s">
        <v>177</v>
      </c>
      <c r="P27" s="2">
        <f>F25</f>
        <v>13780.800000000001</v>
      </c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M28" s="203">
        <f>M27*1.2</f>
        <v>35769.600000000006</v>
      </c>
      <c r="N28" s="206">
        <v>0.2</v>
      </c>
      <c r="P28">
        <f>P27*1.2</f>
        <v>16536.96</v>
      </c>
    </row>
    <row r="29" spans="1:16" ht="12.75">
      <c r="A29" s="23">
        <v>400</v>
      </c>
      <c r="B29" s="25"/>
      <c r="C29" s="25">
        <f>SUM(D29:K29)</f>
        <v>184017.71000000002</v>
      </c>
      <c r="D29" s="25">
        <f>D5+D6+D7+D8+D9+D10+D11+D12+D13+D14+D15</f>
        <v>25394.443980000004</v>
      </c>
      <c r="E29" s="25">
        <f aca="true" t="shared" si="9" ref="E29:K29">E5+E6+E7+E8+E9+E10+E11+E12+E13+E14+E15</f>
        <v>20425.965809999998</v>
      </c>
      <c r="F29" s="25">
        <f t="shared" si="9"/>
        <v>11740.329898000002</v>
      </c>
      <c r="G29" s="25">
        <f t="shared" si="9"/>
        <v>7967.966843000001</v>
      </c>
      <c r="H29" s="25">
        <f t="shared" si="9"/>
        <v>63725.33297300002</v>
      </c>
      <c r="I29" s="25">
        <f t="shared" si="9"/>
        <v>38974.950978</v>
      </c>
      <c r="J29" s="25">
        <f t="shared" si="9"/>
        <v>11666.722814</v>
      </c>
      <c r="K29" s="25">
        <f t="shared" si="9"/>
        <v>4121.996704</v>
      </c>
      <c r="M29" s="203">
        <f>M28*0.5</f>
        <v>17884.800000000003</v>
      </c>
      <c r="N29" s="206">
        <v>0.5</v>
      </c>
      <c r="P29">
        <f>P28*0.5</f>
        <v>8268.48</v>
      </c>
    </row>
    <row r="30" spans="1:16" ht="12.75">
      <c r="A30" s="23">
        <v>401</v>
      </c>
      <c r="B30" s="25"/>
      <c r="C30" s="25">
        <f>SUM(D30:K30)</f>
        <v>29182.54</v>
      </c>
      <c r="D30" s="25">
        <f aca="true" t="shared" si="10" ref="D30:K30">D16+D17+D18+D19+D20+D21</f>
        <v>4027.1905200000006</v>
      </c>
      <c r="E30" s="25">
        <f t="shared" si="10"/>
        <v>3239.26194</v>
      </c>
      <c r="F30" s="25">
        <f t="shared" si="10"/>
        <v>1861.8460519999999</v>
      </c>
      <c r="G30" s="25">
        <f t="shared" si="10"/>
        <v>1263.603982</v>
      </c>
      <c r="H30" s="25">
        <f t="shared" si="10"/>
        <v>10105.913602</v>
      </c>
      <c r="I30" s="25">
        <f t="shared" si="10"/>
        <v>6180.861972000001</v>
      </c>
      <c r="J30" s="25">
        <f t="shared" si="10"/>
        <v>1850.173036</v>
      </c>
      <c r="K30" s="25">
        <f t="shared" si="10"/>
        <v>653.688896</v>
      </c>
      <c r="P30" t="s">
        <v>178</v>
      </c>
    </row>
    <row r="31" spans="1:11" ht="12.75">
      <c r="A31" s="23">
        <v>402</v>
      </c>
      <c r="B31" s="25"/>
      <c r="C31" s="25">
        <f>SUM(D31:K31)</f>
        <v>2799.75</v>
      </c>
      <c r="D31" s="25">
        <f>D24+D23+D22</f>
        <v>386.3655</v>
      </c>
      <c r="E31" s="25">
        <f aca="true" t="shared" si="11" ref="E31:K31">E24+E23+E22</f>
        <v>310.77225</v>
      </c>
      <c r="F31" s="25">
        <f t="shared" si="11"/>
        <v>178.62404999999998</v>
      </c>
      <c r="G31" s="25">
        <f t="shared" si="11"/>
        <v>121.229175</v>
      </c>
      <c r="H31" s="25">
        <f t="shared" si="11"/>
        <v>969.5534250000001</v>
      </c>
      <c r="I31" s="25">
        <f t="shared" si="11"/>
        <v>592.98705</v>
      </c>
      <c r="J31" s="25">
        <f t="shared" si="11"/>
        <v>177.50415</v>
      </c>
      <c r="K31" s="25">
        <f t="shared" si="11"/>
        <v>62.71440000000001</v>
      </c>
    </row>
    <row r="32" spans="1:11" ht="12.75">
      <c r="A32" s="23"/>
      <c r="B32" s="25"/>
      <c r="C32" s="25">
        <f>SUM(C29:C31)</f>
        <v>216000.00000000003</v>
      </c>
      <c r="D32" s="25">
        <f>SUM(D29:D31)</f>
        <v>29808.000000000004</v>
      </c>
      <c r="E32" s="25">
        <f aca="true" t="shared" si="12" ref="E32:K32">SUM(E29:E31)</f>
        <v>23976</v>
      </c>
      <c r="F32" s="25">
        <f t="shared" si="12"/>
        <v>13780.800000000001</v>
      </c>
      <c r="G32" s="25">
        <f t="shared" si="12"/>
        <v>9352.800000000001</v>
      </c>
      <c r="H32" s="25">
        <f t="shared" si="12"/>
        <v>74800.80000000003</v>
      </c>
      <c r="I32" s="25">
        <f t="shared" si="12"/>
        <v>45748.8</v>
      </c>
      <c r="J32" s="25">
        <f t="shared" si="12"/>
        <v>13694.400000000001</v>
      </c>
      <c r="K32" s="25">
        <f t="shared" si="12"/>
        <v>4838.4</v>
      </c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5" ht="12.75">
      <c r="C35">
        <v>3600</v>
      </c>
    </row>
    <row r="36" ht="12.75">
      <c r="C36" s="2">
        <f>C32+C35</f>
        <v>219600.00000000003</v>
      </c>
    </row>
  </sheetData>
  <sheetProtection/>
  <mergeCells count="2">
    <mergeCell ref="A27:B27"/>
    <mergeCell ref="D3:K3"/>
  </mergeCells>
  <printOptions/>
  <pageMargins left="0.26" right="0.1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.28515625" style="0" customWidth="1"/>
    <col min="2" max="2" width="2.57421875" style="0" hidden="1" customWidth="1"/>
    <col min="4" max="4" width="42.57421875" style="0" customWidth="1"/>
    <col min="5" max="11" width="11.28125" style="0" customWidth="1"/>
    <col min="12" max="12" width="12.28125" style="0" customWidth="1"/>
  </cols>
  <sheetData>
    <row r="1" ht="18">
      <c r="C1" s="69" t="s">
        <v>192</v>
      </c>
    </row>
    <row r="2" ht="18">
      <c r="C2" s="69"/>
    </row>
    <row r="3" spans="3:11" ht="18.75">
      <c r="C3" s="69"/>
      <c r="D3" s="70" t="s">
        <v>85</v>
      </c>
      <c r="E3" s="226"/>
      <c r="F3" s="21"/>
      <c r="G3" s="70"/>
      <c r="H3" s="70"/>
      <c r="I3" s="70"/>
      <c r="K3" s="21"/>
    </row>
    <row r="4" ht="13.5" thickBot="1"/>
    <row r="5" spans="3:14" ht="75">
      <c r="C5" s="132" t="s">
        <v>86</v>
      </c>
      <c r="D5" s="131" t="s">
        <v>87</v>
      </c>
      <c r="E5" s="130" t="s">
        <v>88</v>
      </c>
      <c r="F5" s="130" t="s">
        <v>89</v>
      </c>
      <c r="G5" s="130" t="s">
        <v>163</v>
      </c>
      <c r="H5" s="130" t="s">
        <v>164</v>
      </c>
      <c r="I5" s="130" t="s">
        <v>165</v>
      </c>
      <c r="J5" s="130" t="s">
        <v>166</v>
      </c>
      <c r="K5" s="130" t="s">
        <v>185</v>
      </c>
      <c r="L5" s="270" t="s">
        <v>90</v>
      </c>
      <c r="N5" s="229" t="s">
        <v>194</v>
      </c>
    </row>
    <row r="6" spans="3:14" ht="15">
      <c r="C6" s="129"/>
      <c r="D6" s="128" t="s">
        <v>91</v>
      </c>
      <c r="E6" s="228" t="s">
        <v>188</v>
      </c>
      <c r="F6" s="228" t="s">
        <v>189</v>
      </c>
      <c r="G6" s="227" t="s">
        <v>181</v>
      </c>
      <c r="H6" s="228" t="s">
        <v>181</v>
      </c>
      <c r="I6" s="227" t="s">
        <v>183</v>
      </c>
      <c r="J6" s="227" t="s">
        <v>182</v>
      </c>
      <c r="K6" s="228" t="s">
        <v>179</v>
      </c>
      <c r="L6" s="271"/>
      <c r="N6" t="s">
        <v>190</v>
      </c>
    </row>
    <row r="7" spans="3:14" ht="15.75" thickBot="1">
      <c r="C7" s="127"/>
      <c r="D7" s="126" t="s">
        <v>92</v>
      </c>
      <c r="E7" s="125" t="s">
        <v>93</v>
      </c>
      <c r="F7" s="125" t="s">
        <v>94</v>
      </c>
      <c r="G7" s="125" t="s">
        <v>47</v>
      </c>
      <c r="H7" s="125" t="s">
        <v>47</v>
      </c>
      <c r="I7" s="125" t="s">
        <v>47</v>
      </c>
      <c r="J7" s="125" t="s">
        <v>47</v>
      </c>
      <c r="K7" s="125" t="s">
        <v>93</v>
      </c>
      <c r="L7" s="272"/>
      <c r="N7" t="s">
        <v>191</v>
      </c>
    </row>
    <row r="8" spans="3:14" ht="12.75">
      <c r="C8" s="124">
        <v>400000</v>
      </c>
      <c r="D8" s="123" t="s">
        <v>95</v>
      </c>
      <c r="E8" s="122">
        <f>2782.25+2893.54*11</f>
        <v>34611.19</v>
      </c>
      <c r="F8" s="122">
        <f>2032.98+2114.29*10+2198.84</f>
        <v>25374.72</v>
      </c>
      <c r="G8" s="122">
        <f>1269.78+1320.58*11</f>
        <v>15796.16</v>
      </c>
      <c r="H8" s="122">
        <f>1269.78+1320.58*11</f>
        <v>15796.16</v>
      </c>
      <c r="I8" s="122">
        <f>1544.88+1606.68*11</f>
        <v>19218.36</v>
      </c>
      <c r="J8" s="122">
        <f>1320.58+1373.4*11</f>
        <v>16427.980000000003</v>
      </c>
      <c r="K8" s="122">
        <f>2675.25*7+2782.25</f>
        <v>21509</v>
      </c>
      <c r="L8" s="121">
        <f aca="true" t="shared" si="0" ref="L8:L16">SUM(E8:K8)</f>
        <v>148733.57</v>
      </c>
      <c r="M8" s="2"/>
      <c r="N8" s="21" t="s">
        <v>195</v>
      </c>
    </row>
    <row r="9" spans="3:14" ht="12.75">
      <c r="C9" s="120">
        <v>400001</v>
      </c>
      <c r="D9" s="3" t="s">
        <v>96</v>
      </c>
      <c r="E9" s="4">
        <f>ROUND((E8*8.91%),2)</f>
        <v>3083.86</v>
      </c>
      <c r="F9" s="4">
        <f>ROUND((F8*7.92%),2)</f>
        <v>2009.68</v>
      </c>
      <c r="G9" s="4">
        <f>ROUND((G8*8.58%),2)</f>
        <v>1355.31</v>
      </c>
      <c r="H9" s="4">
        <f>ROUND((H8*7.26%),2)</f>
        <v>1146.8</v>
      </c>
      <c r="I9" s="4">
        <f>ROUND((I8*4.95%),2)</f>
        <v>951.31</v>
      </c>
      <c r="J9" s="4">
        <f>ROUND((J8*3.3%),2)</f>
        <v>542.12</v>
      </c>
      <c r="K9" s="4">
        <f>ROUND((K8*11.55%),2)</f>
        <v>2484.29</v>
      </c>
      <c r="L9" s="121">
        <f t="shared" si="0"/>
        <v>11573.370000000003</v>
      </c>
      <c r="M9" s="2"/>
      <c r="N9" t="s">
        <v>193</v>
      </c>
    </row>
    <row r="10" spans="2:21" ht="15">
      <c r="B10" s="72"/>
      <c r="C10" s="119">
        <v>400002</v>
      </c>
      <c r="D10" s="118" t="s">
        <v>97</v>
      </c>
      <c r="E10" s="117">
        <v>0</v>
      </c>
      <c r="F10" s="117">
        <v>0</v>
      </c>
      <c r="G10" s="117">
        <v>0</v>
      </c>
      <c r="H10" s="117">
        <v>500</v>
      </c>
      <c r="I10" s="117">
        <v>500</v>
      </c>
      <c r="J10" s="117">
        <v>291</v>
      </c>
      <c r="K10" s="117">
        <v>0</v>
      </c>
      <c r="L10" s="109">
        <f t="shared" si="0"/>
        <v>1291</v>
      </c>
      <c r="M10" s="73"/>
      <c r="N10" s="230">
        <v>1500</v>
      </c>
      <c r="O10" s="39" t="s">
        <v>196</v>
      </c>
      <c r="P10" s="39"/>
      <c r="Q10" s="39"/>
      <c r="R10" s="39"/>
      <c r="S10" s="39"/>
      <c r="T10" s="39"/>
      <c r="U10" s="39"/>
    </row>
    <row r="11" spans="3:13" ht="12.75">
      <c r="C11" s="120">
        <v>400003</v>
      </c>
      <c r="D11" s="3" t="s">
        <v>98</v>
      </c>
      <c r="E11" s="4">
        <f>ROUND((E8*5%),2)</f>
        <v>1730.56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71">
        <f t="shared" si="0"/>
        <v>1730.56</v>
      </c>
      <c r="M11" s="2"/>
    </row>
    <row r="12" spans="3:13" ht="12.75">
      <c r="C12" s="120">
        <v>400100</v>
      </c>
      <c r="D12" s="3" t="s">
        <v>99</v>
      </c>
      <c r="E12" s="4">
        <v>842.79</v>
      </c>
      <c r="F12" s="4">
        <v>842.79</v>
      </c>
      <c r="G12" s="4">
        <v>842.79</v>
      </c>
      <c r="H12" s="4">
        <v>842.79</v>
      </c>
      <c r="I12" s="4">
        <v>842.79</v>
      </c>
      <c r="J12" s="4">
        <v>842.79</v>
      </c>
      <c r="K12" s="4">
        <f>ROUND(((842.79/12)*9),2)</f>
        <v>632.09</v>
      </c>
      <c r="L12" s="71">
        <f t="shared" si="0"/>
        <v>5688.83</v>
      </c>
      <c r="M12" s="2"/>
    </row>
    <row r="13" spans="3:13" ht="12.75">
      <c r="C13" s="120">
        <v>400202</v>
      </c>
      <c r="D13" s="3" t="s">
        <v>100</v>
      </c>
      <c r="E13" s="4">
        <f aca="true" t="shared" si="1" ref="E13:J13">3.88*20*12</f>
        <v>931.1999999999999</v>
      </c>
      <c r="F13" s="4">
        <f t="shared" si="1"/>
        <v>931.1999999999999</v>
      </c>
      <c r="G13" s="4">
        <f t="shared" si="1"/>
        <v>931.1999999999999</v>
      </c>
      <c r="H13" s="4">
        <f t="shared" si="1"/>
        <v>931.1999999999999</v>
      </c>
      <c r="I13" s="4">
        <f t="shared" si="1"/>
        <v>931.1999999999999</v>
      </c>
      <c r="J13" s="4">
        <f t="shared" si="1"/>
        <v>931.1999999999999</v>
      </c>
      <c r="K13" s="4">
        <f>3.88*20*8</f>
        <v>620.8</v>
      </c>
      <c r="L13" s="71">
        <f t="shared" si="0"/>
        <v>6208</v>
      </c>
      <c r="M13" s="2"/>
    </row>
    <row r="14" spans="3:13" ht="12.75">
      <c r="C14" s="120">
        <v>400203</v>
      </c>
      <c r="D14" s="3" t="s">
        <v>101</v>
      </c>
      <c r="E14" s="4">
        <f>57.6*12</f>
        <v>691.2</v>
      </c>
      <c r="F14" s="4">
        <f>73.6*12</f>
        <v>883.1999999999999</v>
      </c>
      <c r="G14" s="4">
        <f>(99.2+15)*12</f>
        <v>1370.4</v>
      </c>
      <c r="H14" s="4">
        <f>73.6*12</f>
        <v>883.1999999999999</v>
      </c>
      <c r="I14" s="4">
        <v>0</v>
      </c>
      <c r="J14" s="4">
        <f>115.2*12</f>
        <v>1382.4</v>
      </c>
      <c r="K14" s="4">
        <f>73.6*8</f>
        <v>588.8</v>
      </c>
      <c r="L14" s="71">
        <f t="shared" si="0"/>
        <v>5799.2</v>
      </c>
      <c r="M14" s="2"/>
    </row>
    <row r="15" spans="3:13" ht="15">
      <c r="C15" s="119">
        <v>400302</v>
      </c>
      <c r="D15" s="118" t="s">
        <v>102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09">
        <f t="shared" si="0"/>
        <v>0</v>
      </c>
      <c r="M15" s="2"/>
    </row>
    <row r="16" spans="3:20" ht="15">
      <c r="C16" s="119">
        <v>400400</v>
      </c>
      <c r="D16" s="118" t="s">
        <v>62</v>
      </c>
      <c r="E16" s="117">
        <v>0</v>
      </c>
      <c r="F16" s="117">
        <v>222.65</v>
      </c>
      <c r="G16" s="117">
        <v>0</v>
      </c>
      <c r="H16" s="117">
        <v>500</v>
      </c>
      <c r="I16" s="117">
        <v>500</v>
      </c>
      <c r="J16" s="117">
        <v>500</v>
      </c>
      <c r="K16" s="117">
        <v>0</v>
      </c>
      <c r="L16" s="109">
        <f t="shared" si="0"/>
        <v>1722.65</v>
      </c>
      <c r="M16" s="2"/>
      <c r="N16" s="230">
        <v>2000</v>
      </c>
      <c r="O16" s="39" t="s">
        <v>197</v>
      </c>
      <c r="P16" s="39"/>
      <c r="Q16" s="39"/>
      <c r="R16" s="39"/>
      <c r="S16" s="39"/>
      <c r="T16" s="39"/>
    </row>
    <row r="17" spans="3:13" ht="12.75">
      <c r="C17" s="120">
        <v>401001</v>
      </c>
      <c r="D17" s="3" t="s">
        <v>167</v>
      </c>
      <c r="E17" s="4">
        <f aca="true" t="shared" si="2" ref="E17:K17">ROUND(((E8+E9+E10+E11+E15+E16)*8.85%),2)</f>
        <v>3489.17</v>
      </c>
      <c r="F17" s="4">
        <f t="shared" si="2"/>
        <v>2443.22</v>
      </c>
      <c r="G17" s="4">
        <f t="shared" si="2"/>
        <v>1517.91</v>
      </c>
      <c r="H17" s="4">
        <f t="shared" si="2"/>
        <v>1587.95</v>
      </c>
      <c r="I17" s="4">
        <f t="shared" si="2"/>
        <v>1873.52</v>
      </c>
      <c r="J17" s="4">
        <f t="shared" si="2"/>
        <v>1571.86</v>
      </c>
      <c r="K17" s="4">
        <f t="shared" si="2"/>
        <v>2123.41</v>
      </c>
      <c r="L17" s="71">
        <f aca="true" t="shared" si="3" ref="L17:L22">SUM(E17:K17)</f>
        <v>14607.04</v>
      </c>
      <c r="M17" s="2"/>
    </row>
    <row r="18" spans="3:13" ht="12.75">
      <c r="C18" s="120">
        <v>401100</v>
      </c>
      <c r="D18" s="3" t="s">
        <v>168</v>
      </c>
      <c r="E18" s="4">
        <f aca="true" t="shared" si="4" ref="E18:K18">ROUND(((E8+E9+E10+E11+E15+E16)*6.56%),2)</f>
        <v>2586.32</v>
      </c>
      <c r="F18" s="4">
        <f t="shared" si="4"/>
        <v>1811.02</v>
      </c>
      <c r="G18" s="4">
        <f t="shared" si="4"/>
        <v>1125.14</v>
      </c>
      <c r="H18" s="4">
        <f t="shared" si="4"/>
        <v>1177.06</v>
      </c>
      <c r="I18" s="4">
        <f t="shared" si="4"/>
        <v>1388.73</v>
      </c>
      <c r="J18" s="4">
        <f t="shared" si="4"/>
        <v>1165.13</v>
      </c>
      <c r="K18" s="4">
        <f t="shared" si="4"/>
        <v>1573.96</v>
      </c>
      <c r="L18" s="71">
        <f t="shared" si="3"/>
        <v>10827.36</v>
      </c>
      <c r="M18" s="2"/>
    </row>
    <row r="19" spans="3:13" ht="12.75">
      <c r="C19" s="120">
        <v>401101</v>
      </c>
      <c r="D19" s="3" t="s">
        <v>105</v>
      </c>
      <c r="E19" s="4">
        <f aca="true" t="shared" si="5" ref="E19:K19">ROUND(((E8+E9+E10+E11+E15+E16)*0.53%),2)</f>
        <v>208.96</v>
      </c>
      <c r="F19" s="4">
        <f t="shared" si="5"/>
        <v>146.32</v>
      </c>
      <c r="G19" s="4">
        <f t="shared" si="5"/>
        <v>90.9</v>
      </c>
      <c r="H19" s="4">
        <f t="shared" si="5"/>
        <v>95.1</v>
      </c>
      <c r="I19" s="4">
        <f t="shared" si="5"/>
        <v>112.2</v>
      </c>
      <c r="J19" s="4">
        <f t="shared" si="5"/>
        <v>94.13</v>
      </c>
      <c r="K19" s="4">
        <f t="shared" si="5"/>
        <v>127.16</v>
      </c>
      <c r="L19" s="71">
        <f t="shared" si="3"/>
        <v>874.77</v>
      </c>
      <c r="M19" s="2"/>
    </row>
    <row r="20" spans="3:13" ht="12.75">
      <c r="C20" s="120">
        <v>401200</v>
      </c>
      <c r="D20" s="3" t="s">
        <v>106</v>
      </c>
      <c r="E20" s="4">
        <f aca="true" t="shared" si="6" ref="E20:K20">ROUND(((E8+E9+E10+E11+E15+E16)*0.06%),2)</f>
        <v>23.66</v>
      </c>
      <c r="F20" s="4">
        <f t="shared" si="6"/>
        <v>16.56</v>
      </c>
      <c r="G20" s="4">
        <f t="shared" si="6"/>
        <v>10.29</v>
      </c>
      <c r="H20" s="4">
        <f t="shared" si="6"/>
        <v>10.77</v>
      </c>
      <c r="I20" s="4">
        <f t="shared" si="6"/>
        <v>12.7</v>
      </c>
      <c r="J20" s="4">
        <f t="shared" si="6"/>
        <v>10.66</v>
      </c>
      <c r="K20" s="4">
        <f t="shared" si="6"/>
        <v>14.4</v>
      </c>
      <c r="L20" s="71">
        <f t="shared" si="3"/>
        <v>99.04</v>
      </c>
      <c r="M20" s="2"/>
    </row>
    <row r="21" spans="3:13" ht="12.75">
      <c r="C21" s="120">
        <v>401300</v>
      </c>
      <c r="D21" s="3" t="s">
        <v>107</v>
      </c>
      <c r="E21" s="4">
        <f aca="true" t="shared" si="7" ref="E21:K21">ROUND(((E8+E9+E10+E11+E15+E16)*0.1%),2)</f>
        <v>39.43</v>
      </c>
      <c r="F21" s="4">
        <f t="shared" si="7"/>
        <v>27.61</v>
      </c>
      <c r="G21" s="4">
        <f t="shared" si="7"/>
        <v>17.15</v>
      </c>
      <c r="H21" s="4">
        <f t="shared" si="7"/>
        <v>17.94</v>
      </c>
      <c r="I21" s="4">
        <f t="shared" si="7"/>
        <v>21.17</v>
      </c>
      <c r="J21" s="4">
        <f t="shared" si="7"/>
        <v>17.76</v>
      </c>
      <c r="K21" s="4">
        <f t="shared" si="7"/>
        <v>23.99</v>
      </c>
      <c r="L21" s="71">
        <f t="shared" si="3"/>
        <v>165.05</v>
      </c>
      <c r="M21" s="2"/>
    </row>
    <row r="22" spans="3:13" ht="12.75">
      <c r="C22" s="120">
        <v>401500</v>
      </c>
      <c r="D22" s="3" t="s">
        <v>108</v>
      </c>
      <c r="E22" s="4">
        <f>35.19*12</f>
        <v>422.28</v>
      </c>
      <c r="F22" s="4">
        <f>33.82*12</f>
        <v>405.84000000000003</v>
      </c>
      <c r="G22" s="4">
        <f>28.31*12</f>
        <v>339.71999999999997</v>
      </c>
      <c r="H22" s="4">
        <f>28.31*12</f>
        <v>339.71999999999997</v>
      </c>
      <c r="I22" s="4">
        <f>28.31*12</f>
        <v>339.71999999999997</v>
      </c>
      <c r="J22" s="4">
        <f>28.31*12</f>
        <v>339.71999999999997</v>
      </c>
      <c r="K22" s="4">
        <f>35.19*12</f>
        <v>422.28</v>
      </c>
      <c r="L22" s="71">
        <f t="shared" si="3"/>
        <v>2609.2799999999997</v>
      </c>
      <c r="M22" s="2"/>
    </row>
    <row r="23" spans="3:13" ht="15">
      <c r="C23" s="119">
        <v>402400</v>
      </c>
      <c r="D23" s="118" t="s">
        <v>109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09">
        <v>200</v>
      </c>
      <c r="M23" s="2"/>
    </row>
    <row r="24" spans="3:13" ht="15.75" thickBot="1">
      <c r="C24" s="116">
        <v>402402</v>
      </c>
      <c r="D24" s="115" t="s">
        <v>110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3">
        <v>1199.75</v>
      </c>
      <c r="M24" s="2"/>
    </row>
    <row r="25" spans="3:13" ht="15.75" thickBot="1">
      <c r="C25" s="273" t="s">
        <v>0</v>
      </c>
      <c r="D25" s="274"/>
      <c r="E25" s="100">
        <f aca="true" t="shared" si="8" ref="E25:L25">SUM(E8:E24)</f>
        <v>48660.619999999995</v>
      </c>
      <c r="F25" s="100">
        <f t="shared" si="8"/>
        <v>35114.81</v>
      </c>
      <c r="G25" s="100">
        <f t="shared" si="8"/>
        <v>23396.97000000001</v>
      </c>
      <c r="H25" s="100">
        <f t="shared" si="8"/>
        <v>23828.690000000002</v>
      </c>
      <c r="I25" s="100">
        <f t="shared" si="8"/>
        <v>26691.700000000004</v>
      </c>
      <c r="J25" s="100">
        <f t="shared" si="8"/>
        <v>24116.750000000007</v>
      </c>
      <c r="K25" s="100">
        <f>SUM(K8:K24)</f>
        <v>30120.18</v>
      </c>
      <c r="L25" s="99">
        <f t="shared" si="8"/>
        <v>213329.47</v>
      </c>
      <c r="M25" s="2"/>
    </row>
    <row r="26" ht="13.5" thickBot="1">
      <c r="C26" s="74"/>
    </row>
    <row r="27" spans="3:14" ht="15">
      <c r="C27" s="74"/>
      <c r="E27" s="2"/>
      <c r="F27" s="112">
        <v>402940</v>
      </c>
      <c r="G27" s="275" t="s">
        <v>111</v>
      </c>
      <c r="H27" s="275"/>
      <c r="I27" s="275"/>
      <c r="J27" s="275"/>
      <c r="K27" s="112"/>
      <c r="L27" s="111">
        <v>1400</v>
      </c>
      <c r="N27" s="21" t="s">
        <v>198</v>
      </c>
    </row>
    <row r="28" spans="3:12" ht="15">
      <c r="C28" s="74"/>
      <c r="E28" s="2"/>
      <c r="F28" s="110">
        <v>400900</v>
      </c>
      <c r="G28" s="276" t="s">
        <v>169</v>
      </c>
      <c r="H28" s="276"/>
      <c r="I28" s="276"/>
      <c r="J28" s="276"/>
      <c r="K28" s="110"/>
      <c r="L28" s="109">
        <f>288.76*2</f>
        <v>577.52</v>
      </c>
    </row>
    <row r="29" spans="3:12" ht="15.75" thickBot="1">
      <c r="C29" s="74"/>
      <c r="E29" s="2"/>
      <c r="F29" s="204">
        <v>400902</v>
      </c>
      <c r="G29" s="277" t="s">
        <v>112</v>
      </c>
      <c r="H29" s="277"/>
      <c r="I29" s="277"/>
      <c r="J29" s="277"/>
      <c r="K29" s="204"/>
      <c r="L29" s="113">
        <v>693.01</v>
      </c>
    </row>
    <row r="30" spans="3:12" ht="15.75" thickBot="1">
      <c r="C30" s="74"/>
      <c r="E30" s="2"/>
      <c r="F30" s="278" t="s">
        <v>90</v>
      </c>
      <c r="G30" s="279"/>
      <c r="H30" s="279"/>
      <c r="I30" s="279"/>
      <c r="J30" s="279"/>
      <c r="K30" s="225"/>
      <c r="L30" s="99">
        <f>SUM(L27:L29)</f>
        <v>2670.5299999999997</v>
      </c>
    </row>
    <row r="31" spans="3:12" ht="15.75" thickBot="1">
      <c r="C31" s="74"/>
      <c r="E31" s="2"/>
      <c r="G31" s="108"/>
      <c r="H31" s="107"/>
      <c r="I31" s="107"/>
      <c r="J31" s="107"/>
      <c r="L31" s="106"/>
    </row>
    <row r="32" spans="3:12" ht="16.5" thickBot="1">
      <c r="C32" s="74"/>
      <c r="E32" s="2"/>
      <c r="F32" s="265" t="s">
        <v>113</v>
      </c>
      <c r="G32" s="266"/>
      <c r="H32" s="266"/>
      <c r="I32" s="266"/>
      <c r="J32" s="267"/>
      <c r="K32" s="222"/>
      <c r="L32" s="205">
        <f>L25+L30</f>
        <v>216000</v>
      </c>
    </row>
    <row r="33" spans="3:14" ht="15">
      <c r="C33" s="74"/>
      <c r="E33" s="2"/>
      <c r="G33" s="108"/>
      <c r="H33" s="107"/>
      <c r="I33" s="107"/>
      <c r="J33" s="107"/>
      <c r="L33" s="106"/>
      <c r="N33" s="2"/>
    </row>
    <row r="34" spans="3:12" ht="15">
      <c r="C34" s="74"/>
      <c r="E34" s="2"/>
      <c r="G34" s="108"/>
      <c r="H34" s="107"/>
      <c r="I34" s="107"/>
      <c r="J34" s="107"/>
      <c r="L34" s="106"/>
    </row>
    <row r="35" spans="3:12" ht="15">
      <c r="C35" s="74"/>
      <c r="E35" s="2"/>
      <c r="G35" s="108"/>
      <c r="H35" s="107"/>
      <c r="I35" s="107"/>
      <c r="J35" s="107"/>
      <c r="L35" s="106"/>
    </row>
    <row r="36" spans="3:12" ht="15">
      <c r="C36" s="74"/>
      <c r="E36" s="2"/>
      <c r="G36" s="108"/>
      <c r="H36" s="107"/>
      <c r="I36" s="107"/>
      <c r="J36" s="107"/>
      <c r="L36" s="106"/>
    </row>
    <row r="37" spans="2:4" ht="12.75">
      <c r="B37" s="74"/>
      <c r="C37" s="75" t="s">
        <v>54</v>
      </c>
      <c r="D37" s="2"/>
    </row>
    <row r="38" spans="1:12" ht="12.75">
      <c r="A38" s="220" t="s">
        <v>55</v>
      </c>
      <c r="B38" s="76" t="s">
        <v>55</v>
      </c>
      <c r="C38" s="77" t="s">
        <v>56</v>
      </c>
      <c r="D38" s="58"/>
      <c r="E38" s="57"/>
      <c r="F38" s="57"/>
      <c r="G38" s="57"/>
      <c r="H38" s="57"/>
      <c r="I38" s="57"/>
      <c r="J38" s="57"/>
      <c r="K38" s="57"/>
      <c r="L38" s="57"/>
    </row>
    <row r="39" spans="1:12" ht="25.5" customHeight="1">
      <c r="A39" s="220" t="s">
        <v>55</v>
      </c>
      <c r="B39" s="76" t="s">
        <v>55</v>
      </c>
      <c r="C39" s="268" t="s">
        <v>186</v>
      </c>
      <c r="D39" s="268"/>
      <c r="E39" s="268"/>
      <c r="F39" s="268"/>
      <c r="G39" s="268"/>
      <c r="H39" s="268"/>
      <c r="I39" s="268"/>
      <c r="J39" s="268"/>
      <c r="K39" s="223"/>
      <c r="L39" s="57"/>
    </row>
    <row r="40" spans="1:12" ht="12.75">
      <c r="A40" s="220" t="s">
        <v>55</v>
      </c>
      <c r="B40" s="76"/>
      <c r="C40" s="268" t="s">
        <v>187</v>
      </c>
      <c r="D40" s="268"/>
      <c r="E40" s="268"/>
      <c r="F40" s="268"/>
      <c r="G40" s="268"/>
      <c r="H40" s="268"/>
      <c r="I40" s="268"/>
      <c r="J40" s="268"/>
      <c r="K40" s="268"/>
      <c r="L40" s="268"/>
    </row>
    <row r="41" spans="1:12" ht="12.75">
      <c r="A41" s="220" t="s">
        <v>55</v>
      </c>
      <c r="B41" s="76" t="s">
        <v>55</v>
      </c>
      <c r="C41" s="77" t="s">
        <v>114</v>
      </c>
      <c r="D41" s="58"/>
      <c r="E41" s="57"/>
      <c r="F41" s="57"/>
      <c r="G41" s="57"/>
      <c r="H41" s="57"/>
      <c r="I41" s="57"/>
      <c r="J41" s="57"/>
      <c r="K41" s="57"/>
      <c r="L41" s="57"/>
    </row>
    <row r="42" spans="1:12" ht="12.75">
      <c r="A42" s="220" t="s">
        <v>55</v>
      </c>
      <c r="B42" s="76" t="s">
        <v>55</v>
      </c>
      <c r="C42" s="268" t="s">
        <v>170</v>
      </c>
      <c r="D42" s="268"/>
      <c r="E42" s="268"/>
      <c r="F42" s="268"/>
      <c r="G42" s="268"/>
      <c r="H42" s="268"/>
      <c r="I42" s="268"/>
      <c r="J42" s="268"/>
      <c r="K42" s="223"/>
      <c r="L42" s="57"/>
    </row>
    <row r="43" spans="1:12" ht="12.75" customHeight="1">
      <c r="A43" s="220" t="s">
        <v>55</v>
      </c>
      <c r="B43" s="76" t="s">
        <v>55</v>
      </c>
      <c r="C43" s="268" t="s">
        <v>171</v>
      </c>
      <c r="D43" s="268"/>
      <c r="E43" s="268"/>
      <c r="F43" s="268"/>
      <c r="G43" s="268"/>
      <c r="H43" s="268"/>
      <c r="I43" s="268"/>
      <c r="J43" s="268"/>
      <c r="K43" s="223"/>
      <c r="L43" s="57"/>
    </row>
    <row r="44" spans="1:12" ht="12.75" customHeight="1">
      <c r="A44" s="220" t="s">
        <v>55</v>
      </c>
      <c r="B44" s="76" t="s">
        <v>55</v>
      </c>
      <c r="C44" s="269" t="s">
        <v>172</v>
      </c>
      <c r="D44" s="269"/>
      <c r="E44" s="269"/>
      <c r="F44" s="269"/>
      <c r="G44" s="269"/>
      <c r="H44" s="269"/>
      <c r="I44" s="269"/>
      <c r="J44" s="269"/>
      <c r="K44" s="224"/>
      <c r="L44" s="78"/>
    </row>
    <row r="45" spans="1:13" ht="12.75" customHeight="1">
      <c r="A45" s="220" t="s">
        <v>55</v>
      </c>
      <c r="B45" s="105" t="s">
        <v>55</v>
      </c>
      <c r="C45" s="269" t="s">
        <v>173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</row>
    <row r="46" spans="1:13" ht="17.25" customHeight="1">
      <c r="A46" s="220" t="s">
        <v>55</v>
      </c>
      <c r="B46" s="219" t="s">
        <v>55</v>
      </c>
      <c r="C46" s="264" t="s">
        <v>180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</row>
    <row r="47" spans="3:5" ht="12.75">
      <c r="C47" s="74"/>
      <c r="E47" s="2"/>
    </row>
    <row r="48" spans="3:12" ht="15.75" thickBot="1">
      <c r="C48" s="74"/>
      <c r="D48" s="79" t="s">
        <v>115</v>
      </c>
      <c r="E48" s="2" t="s">
        <v>133</v>
      </c>
      <c r="F48" t="s">
        <v>132</v>
      </c>
      <c r="G48" t="s">
        <v>131</v>
      </c>
      <c r="H48" t="s">
        <v>130</v>
      </c>
      <c r="I48" t="s">
        <v>129</v>
      </c>
      <c r="J48" t="s">
        <v>128</v>
      </c>
      <c r="K48" t="s">
        <v>132</v>
      </c>
      <c r="L48" t="s">
        <v>90</v>
      </c>
    </row>
    <row r="49" spans="3:12" ht="12.75">
      <c r="C49" s="74"/>
      <c r="D49" s="80" t="s">
        <v>116</v>
      </c>
      <c r="E49" s="81">
        <f aca="true" t="shared" si="9" ref="E49:J49">SUM(E8:E11)</f>
        <v>39425.61</v>
      </c>
      <c r="F49" s="81">
        <f t="shared" si="9"/>
        <v>27384.4</v>
      </c>
      <c r="G49" s="81">
        <f t="shared" si="9"/>
        <v>17151.47</v>
      </c>
      <c r="H49" s="81">
        <f t="shared" si="9"/>
        <v>17442.96</v>
      </c>
      <c r="I49" s="81">
        <f t="shared" si="9"/>
        <v>20669.670000000002</v>
      </c>
      <c r="J49" s="81">
        <f t="shared" si="9"/>
        <v>17261.100000000002</v>
      </c>
      <c r="K49" s="81">
        <f>SUM(K8:K11)</f>
        <v>23993.29</v>
      </c>
      <c r="L49" s="82">
        <f aca="true" t="shared" si="10" ref="L49:L55">SUM(E49:J49)</f>
        <v>139335.21</v>
      </c>
    </row>
    <row r="50" spans="3:12" ht="12.75">
      <c r="C50" s="74"/>
      <c r="D50" s="83" t="s">
        <v>117</v>
      </c>
      <c r="E50" s="4">
        <f aca="true" t="shared" si="11" ref="E50:J50">SUM(E17:E21)</f>
        <v>6347.54</v>
      </c>
      <c r="F50" s="4">
        <f t="shared" si="11"/>
        <v>4444.73</v>
      </c>
      <c r="G50" s="4">
        <f t="shared" si="11"/>
        <v>2761.3900000000003</v>
      </c>
      <c r="H50" s="4">
        <f t="shared" si="11"/>
        <v>2888.82</v>
      </c>
      <c r="I50" s="4">
        <f t="shared" si="11"/>
        <v>3408.3199999999997</v>
      </c>
      <c r="J50" s="4">
        <f t="shared" si="11"/>
        <v>2859.54</v>
      </c>
      <c r="K50" s="4">
        <f>SUM(K17:K21)</f>
        <v>3862.9199999999996</v>
      </c>
      <c r="L50" s="71">
        <f t="shared" si="10"/>
        <v>22710.34</v>
      </c>
    </row>
    <row r="51" spans="3:12" ht="12.75">
      <c r="C51" s="74"/>
      <c r="D51" s="83" t="s">
        <v>118</v>
      </c>
      <c r="E51" s="4">
        <f aca="true" t="shared" si="12" ref="E51:J51">E13+E14</f>
        <v>1622.4</v>
      </c>
      <c r="F51" s="4">
        <f t="shared" si="12"/>
        <v>1814.3999999999999</v>
      </c>
      <c r="G51" s="4">
        <f t="shared" si="12"/>
        <v>2301.6</v>
      </c>
      <c r="H51" s="4">
        <f t="shared" si="12"/>
        <v>1814.3999999999999</v>
      </c>
      <c r="I51" s="4">
        <f t="shared" si="12"/>
        <v>931.1999999999999</v>
      </c>
      <c r="J51" s="4">
        <f t="shared" si="12"/>
        <v>2313.6</v>
      </c>
      <c r="K51" s="4">
        <f>K13+K14</f>
        <v>1209.6</v>
      </c>
      <c r="L51" s="71">
        <f t="shared" si="10"/>
        <v>10797.6</v>
      </c>
    </row>
    <row r="52" spans="3:12" ht="12.75">
      <c r="C52" s="74"/>
      <c r="D52" s="83" t="s">
        <v>108</v>
      </c>
      <c r="E52" s="4">
        <f aca="true" t="shared" si="13" ref="E52:J52">E22</f>
        <v>422.28</v>
      </c>
      <c r="F52" s="4">
        <f t="shared" si="13"/>
        <v>405.84000000000003</v>
      </c>
      <c r="G52" s="4">
        <f t="shared" si="13"/>
        <v>339.71999999999997</v>
      </c>
      <c r="H52" s="4">
        <f t="shared" si="13"/>
        <v>339.71999999999997</v>
      </c>
      <c r="I52" s="4">
        <f t="shared" si="13"/>
        <v>339.71999999999997</v>
      </c>
      <c r="J52" s="4">
        <f t="shared" si="13"/>
        <v>339.71999999999997</v>
      </c>
      <c r="K52" s="4">
        <f>K22</f>
        <v>422.28</v>
      </c>
      <c r="L52" s="71">
        <f t="shared" si="10"/>
        <v>2187</v>
      </c>
    </row>
    <row r="53" spans="3:12" ht="12.75">
      <c r="C53" s="74"/>
      <c r="D53" s="83" t="s">
        <v>90</v>
      </c>
      <c r="E53" s="4">
        <f aca="true" t="shared" si="14" ref="E53:J53">SUM(E49:E52)</f>
        <v>47817.83</v>
      </c>
      <c r="F53" s="4">
        <f t="shared" si="14"/>
        <v>34049.369999999995</v>
      </c>
      <c r="G53" s="4">
        <f t="shared" si="14"/>
        <v>22554.18</v>
      </c>
      <c r="H53" s="4">
        <f t="shared" si="14"/>
        <v>22485.9</v>
      </c>
      <c r="I53" s="4">
        <f t="shared" si="14"/>
        <v>25348.910000000003</v>
      </c>
      <c r="J53" s="4">
        <f t="shared" si="14"/>
        <v>22773.960000000003</v>
      </c>
      <c r="K53" s="4">
        <f>SUM(K49:K52)</f>
        <v>29488.089999999997</v>
      </c>
      <c r="L53" s="71">
        <f t="shared" si="10"/>
        <v>175030.15</v>
      </c>
    </row>
    <row r="54" spans="3:12" ht="13.5" thickBot="1">
      <c r="C54" s="74"/>
      <c r="D54" s="104" t="s">
        <v>119</v>
      </c>
      <c r="E54" s="103">
        <f aca="true" t="shared" si="15" ref="E54:J54">E12</f>
        <v>842.79</v>
      </c>
      <c r="F54" s="103">
        <f t="shared" si="15"/>
        <v>842.79</v>
      </c>
      <c r="G54" s="103">
        <f t="shared" si="15"/>
        <v>842.79</v>
      </c>
      <c r="H54" s="103">
        <f t="shared" si="15"/>
        <v>842.79</v>
      </c>
      <c r="I54" s="103">
        <f t="shared" si="15"/>
        <v>842.79</v>
      </c>
      <c r="J54" s="103">
        <f t="shared" si="15"/>
        <v>842.79</v>
      </c>
      <c r="K54" s="103">
        <f>K12</f>
        <v>632.09</v>
      </c>
      <c r="L54" s="102">
        <f t="shared" si="10"/>
        <v>5056.74</v>
      </c>
    </row>
    <row r="55" spans="3:12" ht="15.75" thickBot="1">
      <c r="C55" s="74"/>
      <c r="D55" s="101" t="s">
        <v>120</v>
      </c>
      <c r="E55" s="100">
        <f aca="true" t="shared" si="16" ref="E55:J55">E53+E54</f>
        <v>48660.62</v>
      </c>
      <c r="F55" s="100">
        <f t="shared" si="16"/>
        <v>34892.159999999996</v>
      </c>
      <c r="G55" s="100">
        <f t="shared" si="16"/>
        <v>23396.97</v>
      </c>
      <c r="H55" s="100">
        <f t="shared" si="16"/>
        <v>23328.690000000002</v>
      </c>
      <c r="I55" s="100">
        <f t="shared" si="16"/>
        <v>26191.700000000004</v>
      </c>
      <c r="J55" s="100">
        <f t="shared" si="16"/>
        <v>23616.750000000004</v>
      </c>
      <c r="K55" s="100">
        <f>K53+K54</f>
        <v>30120.179999999997</v>
      </c>
      <c r="L55" s="99">
        <f t="shared" si="10"/>
        <v>180086.89</v>
      </c>
    </row>
    <row r="56" ht="12.75">
      <c r="C56" s="74"/>
    </row>
    <row r="57" ht="12.75">
      <c r="C57" s="74"/>
    </row>
  </sheetData>
  <sheetProtection/>
  <mergeCells count="14">
    <mergeCell ref="L5:L7"/>
    <mergeCell ref="C25:D25"/>
    <mergeCell ref="G27:J27"/>
    <mergeCell ref="G28:J28"/>
    <mergeCell ref="G29:J29"/>
    <mergeCell ref="F30:J30"/>
    <mergeCell ref="C46:M46"/>
    <mergeCell ref="F32:J32"/>
    <mergeCell ref="C39:J39"/>
    <mergeCell ref="C42:J42"/>
    <mergeCell ref="C43:J43"/>
    <mergeCell ref="C44:J44"/>
    <mergeCell ref="C45:M45"/>
    <mergeCell ref="C40:L4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VOJNIK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mojcao</dc:creator>
  <cp:keywords/>
  <dc:description/>
  <cp:lastModifiedBy>Ivica</cp:lastModifiedBy>
  <cp:lastPrinted>2019-01-29T07:21:34Z</cp:lastPrinted>
  <dcterms:created xsi:type="dcterms:W3CDTF">2007-07-10T14:43:41Z</dcterms:created>
  <dcterms:modified xsi:type="dcterms:W3CDTF">2019-03-29T10:14:17Z</dcterms:modified>
  <cp:category/>
  <cp:version/>
  <cp:contentType/>
  <cp:contentStatus/>
</cp:coreProperties>
</file>